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SGKS\Users2\Планово-экономический отдел\План дотации\РАСКРЫТИЕ ИНФОРМАЦИИ\РИ по Э.Э ежемесячно\"/>
    </mc:Choice>
  </mc:AlternateContent>
  <bookViews>
    <workbookView xWindow="32760" yWindow="45" windowWidth="14760" windowHeight="10815" tabRatio="820"/>
  </bookViews>
  <sheets>
    <sheet name="2020" sheetId="42" r:id="rId1"/>
    <sheet name="январь" sheetId="19" r:id="rId2"/>
    <sheet name="февраль" sheetId="31" r:id="rId3"/>
    <sheet name="март" sheetId="32" r:id="rId4"/>
    <sheet name="апрель" sheetId="33" r:id="rId5"/>
    <sheet name="май" sheetId="34" r:id="rId6"/>
    <sheet name="июнь" sheetId="35" r:id="rId7"/>
    <sheet name="июль" sheetId="36" r:id="rId8"/>
    <sheet name="август" sheetId="37" r:id="rId9"/>
    <sheet name="сентябрь" sheetId="38" r:id="rId10"/>
    <sheet name="октябрь" sheetId="39" r:id="rId11"/>
    <sheet name="ноябрь" sheetId="40" r:id="rId12"/>
    <sheet name="декабрь" sheetId="41" r:id="rId13"/>
  </sheets>
  <calcPr calcId="162913"/>
</workbook>
</file>

<file path=xl/calcChain.xml><?xml version="1.0" encoding="utf-8"?>
<calcChain xmlns="http://schemas.openxmlformats.org/spreadsheetml/2006/main">
  <c r="H48" i="41" l="1"/>
  <c r="H46" i="41"/>
  <c r="H44" i="41"/>
  <c r="H39" i="41"/>
  <c r="H38" i="41"/>
  <c r="H37" i="41"/>
  <c r="H36" i="41"/>
  <c r="H32" i="41"/>
  <c r="H30" i="41"/>
  <c r="H26" i="41"/>
  <c r="H21" i="41"/>
  <c r="H20" i="41"/>
  <c r="G48" i="41" l="1"/>
  <c r="H30" i="40" l="1"/>
  <c r="H48" i="40" l="1"/>
  <c r="H46" i="40"/>
  <c r="H44" i="40"/>
  <c r="H39" i="40"/>
  <c r="H38" i="40"/>
  <c r="H37" i="40"/>
  <c r="H36" i="40"/>
  <c r="H32" i="40"/>
  <c r="H26" i="40"/>
  <c r="H21" i="40"/>
  <c r="H20" i="40"/>
  <c r="H30" i="39"/>
  <c r="H20" i="39" l="1"/>
  <c r="H48" i="39"/>
  <c r="H46" i="39"/>
  <c r="H44" i="39"/>
  <c r="H39" i="39"/>
  <c r="H38" i="39"/>
  <c r="H37" i="39"/>
  <c r="H36" i="39"/>
  <c r="H33" i="39"/>
  <c r="H32" i="39"/>
  <c r="H26" i="39"/>
  <c r="H21" i="39"/>
  <c r="G48" i="39" l="1"/>
  <c r="G48" i="33" l="1"/>
  <c r="G48" i="38"/>
  <c r="I30" i="38" l="1"/>
  <c r="I15" i="38" l="1"/>
  <c r="I20" i="38"/>
  <c r="H20" i="38"/>
  <c r="I43" i="38"/>
  <c r="I41" i="38"/>
  <c r="I32" i="38"/>
  <c r="H32" i="38"/>
  <c r="H26" i="38"/>
  <c r="I28" i="38"/>
  <c r="I19" i="38"/>
  <c r="I18" i="38"/>
  <c r="H30" i="38"/>
  <c r="I35" i="38"/>
  <c r="I16" i="38"/>
  <c r="I36" i="38"/>
  <c r="H36" i="38"/>
  <c r="I49" i="38"/>
  <c r="I38" i="38"/>
  <c r="H38" i="38"/>
  <c r="I47" i="38"/>
  <c r="I27" i="38"/>
  <c r="I39" i="38"/>
  <c r="H39" i="38"/>
  <c r="I42" i="38"/>
  <c r="I22" i="38"/>
  <c r="H37" i="38"/>
  <c r="H21" i="38"/>
  <c r="I24" i="38"/>
  <c r="I33" i="38"/>
  <c r="I44" i="38"/>
  <c r="H44" i="38"/>
  <c r="I46" i="38"/>
  <c r="H46" i="38"/>
  <c r="I48" i="38"/>
  <c r="I29" i="38"/>
  <c r="I50" i="38"/>
  <c r="G48" i="37" l="1"/>
  <c r="H46" i="37"/>
  <c r="H44" i="37"/>
  <c r="H39" i="37"/>
  <c r="H38" i="37"/>
  <c r="H37" i="37"/>
  <c r="H36" i="37"/>
  <c r="H33" i="37"/>
  <c r="H32" i="37"/>
  <c r="H30" i="37"/>
  <c r="H26" i="37"/>
  <c r="H21" i="37"/>
  <c r="H20" i="37"/>
  <c r="H48" i="36" l="1"/>
  <c r="H46" i="36"/>
  <c r="H44" i="36"/>
  <c r="H39" i="36"/>
  <c r="H38" i="36"/>
  <c r="H37" i="36"/>
  <c r="H36" i="36"/>
  <c r="H33" i="36"/>
  <c r="H32" i="36"/>
  <c r="H30" i="36"/>
  <c r="H26" i="36"/>
  <c r="H21" i="36"/>
  <c r="H20" i="36"/>
  <c r="G48" i="36"/>
  <c r="H48" i="35" l="1"/>
  <c r="H46" i="35"/>
  <c r="H44" i="35"/>
  <c r="H39" i="35"/>
  <c r="H38" i="35"/>
  <c r="H37" i="35"/>
  <c r="H36" i="35"/>
  <c r="H32" i="35"/>
  <c r="H30" i="35"/>
  <c r="H26" i="35"/>
  <c r="H21" i="35"/>
  <c r="H20" i="35"/>
  <c r="G48" i="35" l="1"/>
  <c r="H48" i="34" l="1"/>
  <c r="H46" i="34"/>
  <c r="H44" i="34"/>
  <c r="H39" i="34"/>
  <c r="H38" i="34"/>
  <c r="H37" i="34"/>
  <c r="H36" i="34"/>
  <c r="H32" i="34"/>
  <c r="H30" i="34"/>
  <c r="H26" i="34"/>
  <c r="H21" i="34"/>
  <c r="H20" i="34"/>
  <c r="G48" i="34"/>
  <c r="G16" i="42" l="1"/>
  <c r="H16" i="42"/>
  <c r="I16" i="42"/>
  <c r="G17" i="42"/>
  <c r="H17" i="42"/>
  <c r="I17" i="42"/>
  <c r="G18" i="42"/>
  <c r="H18" i="42"/>
  <c r="I18" i="42"/>
  <c r="G19" i="42"/>
  <c r="H19" i="42"/>
  <c r="I19" i="42"/>
  <c r="G20" i="42"/>
  <c r="H20" i="42"/>
  <c r="I20" i="42"/>
  <c r="G21" i="42"/>
  <c r="H21" i="42"/>
  <c r="I21" i="42"/>
  <c r="G22" i="42"/>
  <c r="H22" i="42"/>
  <c r="I22" i="42"/>
  <c r="G23" i="42"/>
  <c r="H23" i="42"/>
  <c r="I23" i="42"/>
  <c r="G24" i="42"/>
  <c r="H24" i="42"/>
  <c r="I24" i="42"/>
  <c r="G25" i="42"/>
  <c r="H25" i="42"/>
  <c r="I25" i="42"/>
  <c r="G26" i="42"/>
  <c r="H26" i="42"/>
  <c r="I26" i="42"/>
  <c r="G27" i="42"/>
  <c r="H27" i="42"/>
  <c r="I27" i="42"/>
  <c r="G28" i="42"/>
  <c r="H28" i="42"/>
  <c r="I28" i="42"/>
  <c r="G29" i="42"/>
  <c r="H29" i="42"/>
  <c r="I29" i="42"/>
  <c r="G30" i="42"/>
  <c r="H30" i="42"/>
  <c r="I30" i="42"/>
  <c r="G31" i="42"/>
  <c r="H31" i="42"/>
  <c r="I31" i="42"/>
  <c r="G32" i="42"/>
  <c r="H32" i="42"/>
  <c r="I32" i="42"/>
  <c r="G33" i="42"/>
  <c r="H33" i="42"/>
  <c r="I33" i="42"/>
  <c r="G34" i="42"/>
  <c r="H34" i="42"/>
  <c r="I34" i="42"/>
  <c r="G35" i="42"/>
  <c r="H35" i="42"/>
  <c r="I35" i="42"/>
  <c r="G36" i="42"/>
  <c r="H36" i="42"/>
  <c r="I36" i="42"/>
  <c r="G37" i="42"/>
  <c r="H37" i="42"/>
  <c r="I37" i="42"/>
  <c r="G38" i="42"/>
  <c r="H38" i="42"/>
  <c r="I38" i="42"/>
  <c r="G39" i="42"/>
  <c r="H39" i="42"/>
  <c r="I39" i="42"/>
  <c r="G40" i="42"/>
  <c r="H40" i="42"/>
  <c r="I40" i="42"/>
  <c r="G41" i="42"/>
  <c r="H41" i="42"/>
  <c r="I41" i="42"/>
  <c r="G42" i="42"/>
  <c r="H42" i="42"/>
  <c r="I42" i="42"/>
  <c r="G43" i="42"/>
  <c r="H43" i="42"/>
  <c r="I43" i="42"/>
  <c r="G44" i="42"/>
  <c r="H44" i="42"/>
  <c r="I44" i="42"/>
  <c r="G45" i="42"/>
  <c r="H45" i="42"/>
  <c r="I45" i="42"/>
  <c r="G46" i="42"/>
  <c r="H46" i="42"/>
  <c r="I46" i="42"/>
  <c r="G47" i="42"/>
  <c r="H47" i="42"/>
  <c r="I47" i="42"/>
  <c r="G48" i="42"/>
  <c r="H48" i="42"/>
  <c r="I48" i="42"/>
  <c r="G49" i="42"/>
  <c r="H49" i="42"/>
  <c r="I49" i="42"/>
  <c r="G50" i="42"/>
  <c r="H50" i="42"/>
  <c r="I50" i="42"/>
  <c r="G51" i="42"/>
  <c r="H51" i="42"/>
  <c r="I51" i="42"/>
  <c r="H15" i="42"/>
  <c r="I15" i="42"/>
  <c r="G15" i="42"/>
  <c r="I52" i="41"/>
  <c r="H52" i="41"/>
  <c r="G52" i="41"/>
  <c r="I52" i="40"/>
  <c r="H52" i="40"/>
  <c r="G52" i="40"/>
  <c r="I52" i="39"/>
  <c r="H52" i="39"/>
  <c r="G52" i="39"/>
  <c r="I52" i="38"/>
  <c r="H52" i="38"/>
  <c r="G52" i="38"/>
  <c r="I52" i="37"/>
  <c r="H52" i="37"/>
  <c r="G52" i="37"/>
  <c r="I52" i="36"/>
  <c r="H52" i="36"/>
  <c r="G52" i="36"/>
  <c r="I52" i="35"/>
  <c r="H52" i="35"/>
  <c r="G52" i="35"/>
  <c r="I52" i="34"/>
  <c r="G52" i="34"/>
  <c r="H52" i="34"/>
  <c r="I26" i="32"/>
  <c r="H26" i="32"/>
  <c r="I26" i="31"/>
  <c r="H26" i="31"/>
  <c r="I26" i="19"/>
  <c r="H26" i="19"/>
  <c r="H48" i="33"/>
  <c r="H46" i="33"/>
  <c r="H44" i="33"/>
  <c r="H39" i="33"/>
  <c r="H38" i="33"/>
  <c r="H37" i="33"/>
  <c r="H36" i="33"/>
  <c r="H32" i="33"/>
  <c r="H30" i="33"/>
  <c r="H26" i="33"/>
  <c r="H21" i="33"/>
  <c r="H20" i="33"/>
  <c r="I52" i="33"/>
  <c r="G52" i="33"/>
  <c r="H48" i="32"/>
  <c r="H46" i="32"/>
  <c r="H44" i="32"/>
  <c r="H39" i="32"/>
  <c r="H38" i="32"/>
  <c r="H37" i="32"/>
  <c r="H36" i="32"/>
  <c r="H32" i="32"/>
  <c r="H30" i="32"/>
  <c r="H23" i="32"/>
  <c r="H21" i="32"/>
  <c r="H20" i="32"/>
  <c r="I52" i="32"/>
  <c r="G52" i="32"/>
  <c r="H52" i="32"/>
  <c r="H48" i="31"/>
  <c r="H46" i="31"/>
  <c r="H44" i="31"/>
  <c r="H39" i="31"/>
  <c r="H38" i="31"/>
  <c r="H37" i="31"/>
  <c r="H36" i="31"/>
  <c r="H32" i="31"/>
  <c r="H30" i="31"/>
  <c r="H23" i="31"/>
  <c r="H21" i="31"/>
  <c r="H52" i="31" s="1"/>
  <c r="H20" i="31"/>
  <c r="I52" i="31"/>
  <c r="G52" i="31"/>
  <c r="G48" i="19"/>
  <c r="H52" i="42" l="1"/>
  <c r="I52" i="42"/>
  <c r="G52" i="42"/>
  <c r="H52" i="33"/>
  <c r="H48" i="19"/>
  <c r="H46" i="19"/>
  <c r="H44" i="19"/>
  <c r="H39" i="19"/>
  <c r="H38" i="19"/>
  <c r="H37" i="19"/>
  <c r="H36" i="19"/>
  <c r="H32" i="19"/>
  <c r="H30" i="19"/>
  <c r="H23" i="19"/>
  <c r="H21" i="19"/>
  <c r="H20" i="19"/>
  <c r="H52" i="19"/>
  <c r="I52" i="19"/>
  <c r="G52" i="19"/>
</calcChain>
</file>

<file path=xl/sharedStrings.xml><?xml version="1.0" encoding="utf-8"?>
<sst xmlns="http://schemas.openxmlformats.org/spreadsheetml/2006/main" count="1274" uniqueCount="71">
  <si>
    <t>№ п/п</t>
  </si>
  <si>
    <t>Наименование населенного пункта</t>
  </si>
  <si>
    <t>Ед. изм.</t>
  </si>
  <si>
    <t>от 21.01.2004 № 24</t>
  </si>
  <si>
    <t>Итого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</si>
  <si>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</si>
  <si>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</si>
  <si>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</si>
  <si>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</si>
  <si>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>Отпущено электроэнергии за август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</si>
  <si>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</si>
  <si>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</si>
  <si>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</si>
  <si>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</si>
  <si>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</si>
  <si>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</si>
  <si>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</si>
  <si>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</si>
  <si>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</si>
  <si>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</si>
  <si>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</si>
  <si>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п. Хорей-Вер</t>
  </si>
  <si>
    <t>с. Несь</t>
  </si>
  <si>
    <t>п. Шойна</t>
  </si>
  <si>
    <t>с. Ома</t>
  </si>
  <si>
    <t>п. Амдерма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</si>
  <si>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</si>
  <si>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</si>
  <si>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</si>
  <si>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</si>
  <si>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</si>
  <si>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Форма раскрытия информации гарантирующими поставщиками, энергоснабжающими и энергосбытовыми организациями о фактическом полезном отпуске электрической энергии (мощности) потребителям по тарифным группам и уровням напряжения</t>
  </si>
  <si>
    <t>ВН</t>
  </si>
  <si>
    <t>СН1</t>
  </si>
  <si>
    <t>СН2</t>
  </si>
  <si>
    <t>НН</t>
  </si>
  <si>
    <t>По тарифу для населения</t>
  </si>
  <si>
    <t>По тарифу для 
МСП, СПК</t>
  </si>
  <si>
    <t>По тарифу для прочих
 потребителей</t>
  </si>
  <si>
    <t>Приложение к пункту 45 "г", 50 "б"</t>
  </si>
  <si>
    <t>кВтч.</t>
  </si>
  <si>
    <t>д. Лабожское</t>
  </si>
  <si>
    <t>д. Пылемец</t>
  </si>
  <si>
    <t>д. Тошвиска</t>
  </si>
  <si>
    <t>д. Щелино</t>
  </si>
  <si>
    <t>п. Выучейский</t>
  </si>
  <si>
    <t>п. Варнек</t>
  </si>
  <si>
    <t>д. Андег</t>
  </si>
  <si>
    <t>д. Осколково</t>
  </si>
  <si>
    <t>д. Мгла</t>
  </si>
  <si>
    <t>д. Чижа</t>
  </si>
  <si>
    <t>д. Каменка</t>
  </si>
  <si>
    <t>п. Хонгурей</t>
  </si>
  <si>
    <t>д. Вижас</t>
  </si>
  <si>
    <t>д. Снопа</t>
  </si>
  <si>
    <t>с. Нижняя Пеша</t>
  </si>
  <si>
    <t>д. Верхняя Пеша</t>
  </si>
  <si>
    <t>д. Волоковая</t>
  </si>
  <si>
    <t>д. Белушье</t>
  </si>
  <si>
    <t>д. Волонга</t>
  </si>
  <si>
    <t>д. Кия</t>
  </si>
  <si>
    <t>д. Куя</t>
  </si>
  <si>
    <t>д. Макарово</t>
  </si>
  <si>
    <t>п. Усть-Кара</t>
  </si>
  <si>
    <t>д. Устье</t>
  </si>
  <si>
    <t>п. Харута</t>
  </si>
  <si>
    <t>х</t>
  </si>
  <si>
    <t>Отпущено электроэнергии за июнь</t>
  </si>
  <si>
    <t>Отпущено электроэнергии за июль</t>
  </si>
  <si>
    <t>Отпущено электроэнергии за сентябрь</t>
  </si>
  <si>
    <t>Отпущено электроэнергии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</si>
</sst>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1" workbookViewId="0">
      <selection activeCell="J46" sqref="J4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70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f>январь!G15+февраль!G15+март!G15+апрель!G15+май!G15+июнь!G15+июль!G15+август!G15+сентябрь!G15+октябрь!G15+ноябрь!G15+декабрь!G15</f>
        <v>317588</v>
      </c>
      <c r="H15" s="7">
        <f>январь!H15+февраль!H15+март!H15+апрель!H15+май!H15+июнь!H15+июль!H15+август!H15+сентябрь!H15+октябрь!H15+ноябрь!H15+декабрь!H15</f>
        <v>93006</v>
      </c>
      <c r="I15" s="7">
        <f>январь!I15+февраль!I15+март!I15+апрель!I15+май!I15+июнь!I15+июль!I15+август!I15+сентябрь!I15+октябрь!I15+ноябрь!I15+декабрь!I15</f>
        <v>446678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f>январь!G16+февраль!G16+март!G16+апрель!G16+май!G16+июнь!G16+июль!G16+август!G16+сентябрь!G16+октябрь!G16+ноябрь!G16+декабрь!G16</f>
        <v>201740</v>
      </c>
      <c r="H16" s="7">
        <f>январь!H16+февраль!H16+март!H16+апрель!H16+май!H16+июнь!H16+июль!H16+август!H16+сентябрь!H16+октябрь!H16+ноябрь!H16+декабрь!H16</f>
        <v>16503</v>
      </c>
      <c r="I16" s="7">
        <f>январь!I16+февраль!I16+март!I16+апрель!I16+май!I16+июнь!I16+июль!I16+август!I16+сентябрь!I16+октябрь!I16+ноябрь!I16+декабрь!I16</f>
        <v>63787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f>январь!G17+февраль!G17+март!G17+апрель!G17+май!G17+июнь!G17+июль!G17+август!G17+сентябрь!G17+октябрь!G17+ноябрь!G17+декабрь!G17</f>
        <v>26852</v>
      </c>
      <c r="H17" s="7">
        <f>январь!H17+февраль!H17+март!H17+апрель!H17+май!H17+июнь!H17+июль!H17+август!H17+сентябрь!H17+октябрь!H17+ноябрь!H17+декабрь!H17</f>
        <v>0</v>
      </c>
      <c r="I17" s="7">
        <f>январь!I17+февраль!I17+март!I17+апрель!I17+май!I17+июнь!I17+июль!I17+август!I17+сентябрь!I17+октябрь!I17+ноябрь!I17+декабрь!I17</f>
        <v>4046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f>январь!G18+февраль!G18+март!G18+апрель!G18+май!G18+июнь!G18+июль!G18+август!G18+сентябрь!G18+октябрь!G18+ноябрь!G18+декабрь!G18</f>
        <v>564013</v>
      </c>
      <c r="H18" s="7">
        <f>январь!H18+февраль!H18+март!H18+апрель!H18+май!H18+июнь!H18+июль!H18+август!H18+сентябрь!H18+октябрь!H18+ноябрь!H18+декабрь!H18</f>
        <v>28040</v>
      </c>
      <c r="I18" s="7">
        <f>январь!I18+февраль!I18+март!I18+апрель!I18+май!I18+июнь!I18+июль!I18+август!I18+сентябрь!I18+октябрь!I18+ноябрь!I18+декабрь!I18</f>
        <v>48346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f>январь!G19+февраль!G19+март!G19+апрель!G19+май!G19+июнь!G19+июль!G19+август!G19+сентябрь!G19+октябрь!G19+ноябрь!G19+декабрь!G19</f>
        <v>58620</v>
      </c>
      <c r="H19" s="7">
        <f>январь!H19+февраль!H19+март!H19+апрель!H19+май!H19+июнь!H19+июль!H19+август!H19+сентябрь!H19+октябрь!H19+ноябрь!H19+декабрь!H19</f>
        <v>2682</v>
      </c>
      <c r="I19" s="7">
        <f>январь!I19+февраль!I19+март!I19+апрель!I19+май!I19+июнь!I19+июль!I19+август!I19+сентябрь!I19+октябрь!I19+ноябрь!I19+декабрь!I19</f>
        <v>13942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f>январь!G20+февраль!G20+март!G20+апрель!G20+май!G20+июнь!G20+июль!G20+август!G20+сентябрь!G20+октябрь!G20+ноябрь!G20+декабрь!G20</f>
        <v>655121</v>
      </c>
      <c r="H20" s="7">
        <f>январь!H20+февраль!H20+март!H20+апрель!H20+май!H20+июнь!H20+июль!H20+август!H20+сентябрь!H20+октябрь!H20+ноябрь!H20+декабрь!H20</f>
        <v>345690</v>
      </c>
      <c r="I20" s="7">
        <f>январь!I20+февраль!I20+март!I20+апрель!I20+май!I20+июнь!I20+июль!I20+август!I20+сентябрь!I20+октябрь!I20+ноябрь!I20+декабрь!I20</f>
        <v>301141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f>январь!G21+февраль!G21+март!G21+апрель!G21+май!G21+июнь!G21+июль!G21+август!G21+сентябрь!G21+октябрь!G21+ноябрь!G21+декабрь!G21</f>
        <v>122352</v>
      </c>
      <c r="H21" s="7">
        <f>январь!H21+февраль!H21+март!H21+апрель!H21+май!H21+июнь!H21+июль!H21+август!H21+сентябрь!H21+октябрь!H21+ноябрь!H21+декабрь!H21</f>
        <v>79947</v>
      </c>
      <c r="I21" s="7">
        <f>январь!I21+февраль!I21+март!I21+апрель!I21+май!I21+июнь!I21+июль!I21+август!I21+сентябрь!I21+октябрь!I21+ноябрь!I21+декабрь!I21</f>
        <v>27428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f>январь!G22+февраль!G22+март!G22+апрель!G22+май!G22+июнь!G22+июль!G22+август!G22+сентябрь!G22+октябрь!G22+ноябрь!G22+декабрь!G22</f>
        <v>69773</v>
      </c>
      <c r="H22" s="7">
        <f>январь!H22+февраль!H22+март!H22+апрель!H22+май!H22+июнь!H22+июль!H22+август!H22+сентябрь!H22+октябрь!H22+ноябрь!H22+декабрь!H22</f>
        <v>4360</v>
      </c>
      <c r="I22" s="7">
        <f>январь!I22+февраль!I22+март!I22+апрель!I22+май!I22+июнь!I22+июль!I22+август!I22+сентябрь!I22+октябрь!I22+ноябрь!I22+декабрь!I22</f>
        <v>39836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f>январь!G23+февраль!G23+март!G23+апрель!G23+май!G23+июнь!G23+июль!G23+август!G23+сентябрь!G23+октябрь!G23+ноябрь!G23+декабрь!G23</f>
        <v>76600</v>
      </c>
      <c r="H23" s="7">
        <f>январь!H23+февраль!H23+март!H23+апрель!H23+май!H23+июнь!H23+июль!H23+август!H23+сентябрь!H23+октябрь!H23+ноябрь!H23+декабрь!H23</f>
        <v>6060</v>
      </c>
      <c r="I23" s="7">
        <f>январь!I23+февраль!I23+март!I23+апрель!I23+май!I23+июнь!I23+июль!I23+август!I23+сентябрь!I23+октябрь!I23+ноябрь!I23+декабрь!I23</f>
        <v>24730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f>январь!G24+февраль!G24+март!G24+апрель!G24+май!G24+июнь!G24+июль!G24+август!G24+сентябрь!G24+октябрь!G24+ноябрь!G24+декабрь!G24</f>
        <v>31878</v>
      </c>
      <c r="H24" s="7">
        <f>январь!H24+февраль!H24+март!H24+апрель!H24+май!H24+июнь!H24+июль!H24+август!H24+сентябрь!H24+октябрь!H24+ноябрь!H24+декабрь!H24</f>
        <v>7154</v>
      </c>
      <c r="I24" s="7">
        <f>январь!I24+февраль!I24+март!I24+апрель!I24+май!I24+июнь!I24+июль!I24+август!I24+сентябрь!I24+октябрь!I24+ноябрь!I24+декабрь!I24</f>
        <v>9013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f>январь!G25+февраль!G25+март!G25+апрель!G25+май!G25+июнь!G25+июль!G25+август!G25+сентябрь!G25+октябрь!G25+ноябрь!G25+декабрь!G25</f>
        <v>126570</v>
      </c>
      <c r="H25" s="7">
        <f>январь!H25+февраль!H25+март!H25+апрель!H25+май!H25+июнь!H25+июль!H25+август!H25+сентябрь!H25+октябрь!H25+ноябрь!H25+декабрь!H25</f>
        <v>0</v>
      </c>
      <c r="I25" s="7">
        <f>январь!I25+февраль!I25+март!I25+апрель!I25+май!I25+июнь!I25+июль!I25+август!I25+сентябрь!I25+октябрь!I25+ноябрь!I25+декабрь!I25</f>
        <v>32825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f>январь!G26+февраль!G26+март!G26+апрель!G26+май!G26+июнь!G26+июль!G26+август!G26+сентябрь!G26+октябрь!G26+ноябрь!G26+декабрь!G26</f>
        <v>761618</v>
      </c>
      <c r="H26" s="7">
        <f>январь!H26+февраль!H26+март!H26+апрель!H26+май!H26+июнь!H26+июль!H26+август!H26+сентябрь!H26+октябрь!H26+ноябрь!H26+декабрь!H26</f>
        <v>113300</v>
      </c>
      <c r="I26" s="7">
        <f>январь!I26+февраль!I26+март!I26+апрель!I26+май!I26+июнь!I26+июль!I26+август!I26+сентябрь!I26+октябрь!I26+ноябрь!I26+декабрь!I26</f>
        <v>211958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f>январь!G27+февраль!G27+март!G27+апрель!G27+май!G27+июнь!G27+июль!G27+август!G27+сентябрь!G27+октябрь!G27+ноябрь!G27+декабрь!G27</f>
        <v>134401</v>
      </c>
      <c r="H27" s="7">
        <f>январь!H27+февраль!H27+март!H27+апрель!H27+май!H27+июнь!H27+июль!H27+август!H27+сентябрь!H27+октябрь!H27+ноябрь!H27+декабрь!H27</f>
        <v>11279</v>
      </c>
      <c r="I27" s="7">
        <f>январь!I27+февраль!I27+март!I27+апрель!I27+май!I27+июнь!I27+июль!I27+август!I27+сентябрь!I27+октябрь!I27+ноябрь!I27+декабрь!I27</f>
        <v>27583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f>январь!G28+февраль!G28+март!G28+апрель!G28+май!G28+июнь!G28+июль!G28+август!G28+сентябрь!G28+октябрь!G28+ноябрь!G28+декабрь!G28</f>
        <v>666125</v>
      </c>
      <c r="H28" s="7">
        <f>январь!H28+февраль!H28+март!H28+апрель!H28+май!H28+июнь!H28+июль!H28+август!H28+сентябрь!H28+октябрь!H28+ноябрь!H28+декабрь!H28</f>
        <v>37470</v>
      </c>
      <c r="I28" s="7">
        <f>январь!I28+февраль!I28+март!I28+апрель!I28+май!I28+июнь!I28+июль!I28+август!I28+сентябрь!I28+октябрь!I28+ноябрь!I28+декабрь!I28</f>
        <v>154939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f>январь!G29+февраль!G29+март!G29+апрель!G29+май!G29+июнь!G29+июль!G29+август!G29+сентябрь!G29+октябрь!G29+ноябрь!G29+декабрь!G29</f>
        <v>59331</v>
      </c>
      <c r="H29" s="7">
        <f>январь!H29+февраль!H29+март!H29+апрель!H29+май!H29+июнь!H29+июль!H29+август!H29+сентябрь!H29+октябрь!H29+ноябрь!H29+декабрь!H29</f>
        <v>1161</v>
      </c>
      <c r="I29" s="7">
        <f>январь!I29+февраль!I29+март!I29+апрель!I29+май!I29+июнь!I29+июль!I29+август!I29+сентябрь!I29+октябрь!I29+ноябрь!I29+декабрь!I29</f>
        <v>9747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f>январь!G30+февраль!G30+март!G30+апрель!G30+май!G30+июнь!G30+июль!G30+август!G30+сентябрь!G30+октябрь!G30+ноябрь!G30+декабрь!G30</f>
        <v>669580</v>
      </c>
      <c r="H30" s="7">
        <f>январь!H30+февраль!H30+март!H30+апрель!H30+май!H30+июнь!H30+июль!H30+август!H30+сентябрь!H30+октябрь!H30+ноябрь!H30+декабрь!H30</f>
        <v>482814</v>
      </c>
      <c r="I30" s="7">
        <f>январь!I30+февраль!I30+март!I30+апрель!I30+май!I30+июнь!I30+июль!I30+август!I30+сентябрь!I30+октябрь!I30+ноябрь!I30+декабрь!I30</f>
        <v>134023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f>январь!G31+февраль!G31+март!G31+апрель!G31+май!G31+июнь!G31+июль!G31+август!G31+сентябрь!G31+октябрь!G31+ноябрь!G31+декабрь!G31</f>
        <v>124201</v>
      </c>
      <c r="H31" s="7">
        <f>январь!H31+февраль!H31+март!H31+апрель!H31+май!H31+июнь!H31+июль!H31+август!H31+сентябрь!H31+октябрь!H31+ноябрь!H31+декабрь!H31</f>
        <v>3074</v>
      </c>
      <c r="I31" s="7">
        <f>январь!I31+февраль!I31+март!I31+апрель!I31+май!I31+июнь!I31+июль!I31+август!I31+сентябрь!I31+октябрь!I31+ноябрь!I31+декабрь!I31</f>
        <v>12556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f>январь!G32+февраль!G32+март!G32+апрель!G32+май!G32+июнь!G32+июль!G32+август!G32+сентябрь!G32+октябрь!G32+ноябрь!G32+декабрь!G32</f>
        <v>323871</v>
      </c>
      <c r="H32" s="7">
        <f>январь!H32+февраль!H32+март!H32+апрель!H32+май!H32+июнь!H32+июль!H32+август!H32+сентябрь!H32+октябрь!H32+ноябрь!H32+декабрь!H32</f>
        <v>222560</v>
      </c>
      <c r="I32" s="7">
        <f>январь!I32+февраль!I32+март!I32+апрель!I32+май!I32+июнь!I32+июль!I32+август!I32+сентябрь!I32+октябрь!I32+ноябрь!I32+декабрь!I32</f>
        <v>59152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f>январь!G33+февраль!G33+март!G33+апрель!G33+май!G33+июнь!G33+июль!G33+август!G33+сентябрь!G33+октябрь!G33+ноябрь!G33+декабрь!G33</f>
        <v>143423</v>
      </c>
      <c r="H33" s="7">
        <f>январь!H33+февраль!H33+март!H33+апрель!H33+май!H33+июнь!H33+июль!H33+август!H33+сентябрь!H33+октябрь!H33+ноябрь!H33+декабрь!H33</f>
        <v>1657</v>
      </c>
      <c r="I33" s="7">
        <f>январь!I33+февраль!I33+март!I33+апрель!I33+май!I33+июнь!I33+июль!I33+август!I33+сентябрь!I33+октябрь!I33+ноябрь!I33+декабрь!I33</f>
        <v>39868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f>январь!G34+февраль!G34+март!G34+апрель!G34+май!G34+июнь!G34+июль!G34+август!G34+сентябрь!G34+октябрь!G34+ноябрь!G34+декабрь!G34</f>
        <v>9817</v>
      </c>
      <c r="H34" s="7">
        <f>январь!H34+февраль!H34+март!H34+апрель!H34+май!H34+июнь!H34+июль!H34+август!H34+сентябрь!H34+октябрь!H34+ноябрь!H34+декабрь!H34</f>
        <v>0</v>
      </c>
      <c r="I34" s="7">
        <f>январь!I34+февраль!I34+март!I34+апрель!I34+май!I34+июнь!I34+июль!I34+август!I34+сентябрь!I34+октябрь!I34+ноябрь!I34+декабрь!I34</f>
        <v>1620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f>январь!G35+февраль!G35+март!G35+апрель!G35+май!G35+июнь!G35+июль!G35+август!G35+сентябрь!G35+октябрь!G35+ноябрь!G35+декабрь!G35</f>
        <v>715769</v>
      </c>
      <c r="H35" s="7">
        <f>январь!H35+февраль!H35+март!H35+апрель!H35+май!H35+июнь!H35+июль!H35+август!H35+сентябрь!H35+октябрь!H35+ноябрь!H35+декабрь!H35</f>
        <v>63015</v>
      </c>
      <c r="I35" s="7">
        <f>январь!I35+февраль!I35+март!I35+апрель!I35+май!I35+июнь!I35+июль!I35+август!I35+сентябрь!I35+октябрь!I35+ноябрь!I35+декабрь!I35</f>
        <v>138361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f>январь!G36+февраль!G36+март!G36+апрель!G36+май!G36+июнь!G36+июль!G36+август!G36+сентябрь!G36+октябрь!G36+ноябрь!G36+декабрь!G36</f>
        <v>1063358</v>
      </c>
      <c r="H36" s="7">
        <f>январь!H36+февраль!H36+март!H36+апрель!H36+май!H36+июнь!H36+июль!H36+август!H36+сентябрь!H36+октябрь!H36+ноябрь!H36+декабрь!H36</f>
        <v>240844</v>
      </c>
      <c r="I36" s="7">
        <f>январь!I36+февраль!I36+март!I36+апрель!I36+май!I36+июнь!I36+июль!I36+август!I36+сентябрь!I36+октябрь!I36+ноябрь!I36+декабрь!I36</f>
        <v>289706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f>январь!G37+февраль!G37+март!G37+апрель!G37+май!G37+июнь!G37+июль!G37+август!G37+сентябрь!G37+октябрь!G37+ноябрь!G37+декабрь!G37</f>
        <v>832803</v>
      </c>
      <c r="H37" s="7">
        <f>январь!H37+февраль!H37+март!H37+апрель!H37+май!H37+июнь!H37+июль!H37+август!H37+сентябрь!H37+октябрь!H37+ноябрь!H37+декабрь!H37</f>
        <v>183734</v>
      </c>
      <c r="I37" s="7">
        <f>январь!I37+февраль!I37+март!I37+апрель!I37+май!I37+июнь!I37+июль!I37+август!I37+сентябрь!I37+октябрь!I37+ноябрь!I37+декабрь!I37</f>
        <v>757684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f>январь!G38+февраль!G38+март!G38+апрель!G38+май!G38+июнь!G38+июль!G38+август!G38+сентябрь!G38+октябрь!G38+ноябрь!G38+декабрь!G38</f>
        <v>405113</v>
      </c>
      <c r="H38" s="7">
        <f>январь!H38+февраль!H38+март!H38+апрель!H38+май!H38+июнь!H38+июль!H38+август!H38+сентябрь!H38+октябрь!H38+ноябрь!H38+декабрь!H38</f>
        <v>224878</v>
      </c>
      <c r="I38" s="7">
        <f>январь!I38+февраль!I38+март!I38+апрель!I38+май!I38+июнь!I38+июль!I38+август!I38+сентябрь!I38+октябрь!I38+ноябрь!I38+декабрь!I38</f>
        <v>161777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f>январь!G39+февраль!G39+март!G39+апрель!G39+май!G39+июнь!G39+июль!G39+август!G39+сентябрь!G39+октябрь!G39+ноябрь!G39+декабрь!G39</f>
        <v>987225</v>
      </c>
      <c r="H39" s="7">
        <f>январь!H39+февраль!H39+март!H39+апрель!H39+май!H39+июнь!H39+июль!H39+август!H39+сентябрь!H39+октябрь!H39+ноябрь!H39+декабрь!H39</f>
        <v>222396</v>
      </c>
      <c r="I39" s="7">
        <f>январь!I39+февраль!I39+март!I39+апрель!I39+май!I39+июнь!I39+июль!I39+август!I39+сентябрь!I39+октябрь!I39+ноябрь!I39+декабрь!I39</f>
        <v>281406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f>январь!G40+февраль!G40+март!G40+апрель!G40+май!G40+июнь!G40+июль!G40+август!G40+сентябрь!G40+октябрь!G40+ноябрь!G40+декабрь!G40</f>
        <v>21065</v>
      </c>
      <c r="H40" s="7">
        <f>январь!H40+февраль!H40+март!H40+апрель!H40+май!H40+июнь!H40+июль!H40+август!H40+сентябрь!H40+октябрь!H40+ноябрь!H40+декабрь!H40</f>
        <v>0</v>
      </c>
      <c r="I40" s="7">
        <f>январь!I40+февраль!I40+март!I40+апрель!I40+май!I40+июнь!I40+июль!I40+август!I40+сентябрь!I40+октябрь!I40+ноябрь!I40+декабрь!I40</f>
        <v>3031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f>январь!G41+февраль!G41+март!G41+апрель!G41+май!G41+июнь!G41+июль!G41+август!G41+сентябрь!G41+октябрь!G41+ноябрь!G41+декабрь!G41</f>
        <v>139413</v>
      </c>
      <c r="H41" s="7">
        <f>январь!H41+февраль!H41+март!H41+апрель!H41+май!H41+июнь!H41+июль!H41+август!H41+сентябрь!H41+октябрь!H41+ноябрь!H41+декабрь!H41</f>
        <v>7991</v>
      </c>
      <c r="I41" s="7">
        <f>январь!I41+февраль!I41+март!I41+апрель!I41+май!I41+июнь!I41+июль!I41+август!I41+сентябрь!I41+октябрь!I41+ноябрь!I41+декабрь!I41</f>
        <v>26862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f>январь!G42+февраль!G42+март!G42+апрель!G42+май!G42+июнь!G42+июль!G42+август!G42+сентябрь!G42+октябрь!G42+ноябрь!G42+декабрь!G42</f>
        <v>75932</v>
      </c>
      <c r="H42" s="7">
        <f>январь!H42+февраль!H42+март!H42+апрель!H42+май!H42+июнь!H42+июль!H42+август!H42+сентябрь!H42+октябрь!H42+ноябрь!H42+декабрь!H42</f>
        <v>21445</v>
      </c>
      <c r="I42" s="7">
        <f>январь!I42+февраль!I42+март!I42+апрель!I42+май!I42+июнь!I42+июль!I42+август!I42+сентябрь!I42+октябрь!I42+ноябрь!I42+декабрь!I42</f>
        <v>21398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f>январь!G43+февраль!G43+март!G43+апрель!G43+май!G43+июнь!G43+июль!G43+август!G43+сентябрь!G43+октябрь!G43+ноябрь!G43+декабрь!G43</f>
        <v>71827</v>
      </c>
      <c r="H43" s="7">
        <f>январь!H43+февраль!H43+март!H43+апрель!H43+май!H43+июнь!H43+июль!H43+август!H43+сентябрь!H43+октябрь!H43+ноябрь!H43+декабрь!H43</f>
        <v>290</v>
      </c>
      <c r="I43" s="7">
        <f>январь!I43+февраль!I43+март!I43+апрель!I43+май!I43+июнь!I43+июль!I43+август!I43+сентябрь!I43+октябрь!I43+ноябрь!I43+декабрь!I43</f>
        <v>22719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f>январь!G44+февраль!G44+март!G44+апрель!G44+май!G44+июнь!G44+июль!G44+август!G44+сентябрь!G44+октябрь!G44+ноябрь!G44+декабрь!G44</f>
        <v>357646</v>
      </c>
      <c r="H44" s="7">
        <f>январь!H44+февраль!H44+март!H44+апрель!H44+май!H44+июнь!H44+июль!H44+август!H44+сентябрь!H44+октябрь!H44+ноябрь!H44+декабрь!H44</f>
        <v>51401</v>
      </c>
      <c r="I44" s="7">
        <f>январь!I44+февраль!I44+март!I44+апрель!I44+май!I44+июнь!I44+июль!I44+август!I44+сентябрь!I44+октябрь!I44+ноябрь!I44+декабрь!I44</f>
        <v>151140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f>январь!G45+февраль!G45+март!G45+апрель!G45+май!G45+июнь!G45+июль!G45+август!G45+сентябрь!G45+октябрь!G45+ноябрь!G45+декабрь!G45</f>
        <v>18156</v>
      </c>
      <c r="H45" s="7">
        <f>январь!H45+февраль!H45+март!H45+апрель!H45+май!H45+июнь!H45+июль!H45+август!H45+сентябрь!H45+октябрь!H45+ноябрь!H45+декабрь!H45</f>
        <v>0</v>
      </c>
      <c r="I45" s="7">
        <f>январь!I45+февраль!I45+март!I45+апрель!I45+май!I45+июнь!I45+июль!I45+август!I45+сентябрь!I45+октябрь!I45+ноябрь!I45+декабрь!I45</f>
        <v>4603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f>январь!G46+февраль!G46+март!G46+апрель!G46+май!G46+июнь!G46+июль!G46+август!G46+сентябрь!G46+октябрь!G46+ноябрь!G46+декабрь!G46</f>
        <v>630669</v>
      </c>
      <c r="H46" s="7">
        <f>январь!H46+февраль!H46+март!H46+апрель!H46+май!H46+июнь!H46+июль!H46+август!H46+сентябрь!H46+октябрь!H46+ноябрь!H46+декабрь!H46</f>
        <v>81747</v>
      </c>
      <c r="I46" s="7">
        <f>январь!I46+февраль!I46+март!I46+апрель!I46+май!I46+июнь!I46+июль!I46+август!I46+сентябрь!I46+октябрь!I46+ноябрь!I46+декабрь!I46</f>
        <v>135544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f>январь!G47+февраль!G47+март!G47+апрель!G47+май!G47+июнь!G47+июль!G47+август!G47+сентябрь!G47+октябрь!G47+ноябрь!G47+декабрь!G47</f>
        <v>210144</v>
      </c>
      <c r="H47" s="7">
        <f>январь!H47+февраль!H47+март!H47+апрель!H47+май!H47+июнь!H47+июль!H47+август!H47+сентябрь!H47+октябрь!H47+ноябрь!H47+декабрь!H47</f>
        <v>25180</v>
      </c>
      <c r="I47" s="7">
        <f>январь!I47+февраль!I47+март!I47+апрель!I47+май!I47+июнь!I47+июль!I47+август!I47+сентябрь!I47+октябрь!I47+ноябрь!I47+декабрь!I47</f>
        <v>100519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январь!G48+февраль!G48+март!G48+апрель!G48+май!G48+июнь!G48+июль!G48+август!G48+сентябрь!G48+октябрь!G48+ноябрь!G48+декабрь!G48</f>
        <v>694843</v>
      </c>
      <c r="H48" s="7">
        <f>январь!H48+февраль!H48+март!H48+апрель!H48+май!H48+июнь!H48+июль!H48+август!H48+сентябрь!H48+октябрь!H48+ноябрь!H48+декабрь!H48</f>
        <v>102708</v>
      </c>
      <c r="I48" s="7">
        <f>январь!I48+февраль!I48+март!I48+апрель!I48+май!I48+июнь!I48+июль!I48+август!I48+сентябрь!I48+октябрь!I48+ноябрь!I48+декабрь!I48</f>
        <v>197626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f>январь!G49+февраль!G49+март!G49+апрель!G49+май!G49+июнь!G49+июль!G49+август!G49+сентябрь!G49+октябрь!G49+ноябрь!G49+декабрь!G49</f>
        <v>75320</v>
      </c>
      <c r="H49" s="7">
        <f>январь!H49+февраль!H49+март!H49+апрель!H49+май!H49+июнь!H49+июль!H49+август!H49+сентябрь!H49+октябрь!H49+ноябрь!H49+декабрь!H49</f>
        <v>5653</v>
      </c>
      <c r="I49" s="7">
        <f>январь!I49+февраль!I49+март!I49+апрель!I49+май!I49+июнь!I49+июль!I49+август!I49+сентябрь!I49+октябрь!I49+ноябрь!I49+декабрь!I49</f>
        <v>16601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f>январь!G50+февраль!G50+март!G50+апрель!G50+май!G50+июнь!G50+июль!G50+август!G50+сентябрь!G50+октябрь!G50+ноябрь!G50+декабрь!G50</f>
        <v>283522</v>
      </c>
      <c r="H50" s="7">
        <f>январь!H50+февраль!H50+март!H50+апрель!H50+май!H50+июнь!H50+июль!H50+август!H50+сентябрь!H50+октябрь!H50+ноябрь!H50+декабрь!H50</f>
        <v>17728</v>
      </c>
      <c r="I50" s="7">
        <f>январь!I50+февраль!I50+март!I50+апрель!I50+май!I50+июнь!I50+июль!I50+август!I50+сентябрь!I50+октябрь!I50+ноябрь!I50+декабрь!I50</f>
        <v>129288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f>январь!G51+февраль!G51+март!G51+апрель!G51+май!G51+июнь!G51+июль!G51+август!G51+сентябрь!G51+октябрь!G51+ноябрь!G51+декабрь!G51</f>
        <v>93425</v>
      </c>
      <c r="H51" s="7">
        <f>январь!H51+февраль!H51+март!H51+апрель!H51+май!H51+июнь!H51+июль!H51+август!H51+сентябрь!H51+октябрь!H51+ноябрь!H51+декабрь!H51</f>
        <v>0</v>
      </c>
      <c r="I51" s="7">
        <f>январь!I51+февраль!I51+март!I51+апрель!I51+май!I51+июнь!I51+июль!I51+август!I51+сентябрь!I51+октябрь!I51+ноябрь!I51+декабрь!I51</f>
        <v>18514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11819704</v>
      </c>
      <c r="H52" s="12">
        <f t="shared" ref="H52:I52" si="0">SUM(H15:H51)</f>
        <v>2705767</v>
      </c>
      <c r="I52" s="12">
        <f t="shared" si="0"/>
        <v>4119997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I25" sqref="I25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69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24266</v>
      </c>
      <c r="H15" s="7">
        <v>1375</v>
      </c>
      <c r="I15" s="7">
        <f>31949-H15</f>
        <v>30574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16634</v>
      </c>
      <c r="H16" s="7">
        <v>1219</v>
      </c>
      <c r="I16" s="7">
        <f>4588-H16</f>
        <v>3369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2762</v>
      </c>
      <c r="H17" s="7"/>
      <c r="I17" s="7">
        <v>364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29001</v>
      </c>
      <c r="H18" s="7">
        <v>1955</v>
      </c>
      <c r="I18" s="7">
        <f>5343-H18</f>
        <v>3388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4121</v>
      </c>
      <c r="H19" s="7">
        <v>209</v>
      </c>
      <c r="I19" s="7">
        <f>1715-H19</f>
        <v>1506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49735</v>
      </c>
      <c r="H20" s="7">
        <f>5674+12533</f>
        <v>18207</v>
      </c>
      <c r="I20" s="7">
        <f>41296-H20</f>
        <v>23089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11279</v>
      </c>
      <c r="H21" s="7">
        <f>1193+3115</f>
        <v>4308</v>
      </c>
      <c r="I21" s="7">
        <v>1869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5770</v>
      </c>
      <c r="H22" s="7">
        <v>464</v>
      </c>
      <c r="I22" s="7">
        <f>2469-H22</f>
        <v>2005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7752</v>
      </c>
      <c r="H23" s="7">
        <v>565</v>
      </c>
      <c r="I23" s="7">
        <v>1186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3806</v>
      </c>
      <c r="H24" s="7">
        <v>89</v>
      </c>
      <c r="I24" s="7">
        <f>682-H24</f>
        <v>593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8710</v>
      </c>
      <c r="H25" s="7"/>
      <c r="I25" s="7">
        <v>2095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46933</v>
      </c>
      <c r="H26" s="7">
        <f>8334+482</f>
        <v>8816</v>
      </c>
      <c r="I26" s="7">
        <v>13428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13757</v>
      </c>
      <c r="H27" s="7">
        <v>485</v>
      </c>
      <c r="I27" s="7">
        <f>2091-H27</f>
        <v>1606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42059</v>
      </c>
      <c r="H28" s="7">
        <v>2917</v>
      </c>
      <c r="I28" s="7">
        <f>14148-H28</f>
        <v>11231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3848</v>
      </c>
      <c r="H29" s="7">
        <v>79</v>
      </c>
      <c r="I29" s="7">
        <f>711-H29</f>
        <v>632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60851</v>
      </c>
      <c r="H30" s="7">
        <f>2529+42273</f>
        <v>44802</v>
      </c>
      <c r="I30" s="7">
        <f>56706-H30</f>
        <v>11904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6730</v>
      </c>
      <c r="H31" s="7"/>
      <c r="I31" s="7">
        <v>898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22327</v>
      </c>
      <c r="H32" s="7">
        <f>695+11871</f>
        <v>12566</v>
      </c>
      <c r="I32" s="7">
        <f>15928-H32</f>
        <v>3362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12588</v>
      </c>
      <c r="H33" s="7">
        <v>100</v>
      </c>
      <c r="I33" s="7">
        <f>1678-H33</f>
        <v>1578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881</v>
      </c>
      <c r="H34" s="7"/>
      <c r="I34" s="7">
        <v>26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48792</v>
      </c>
      <c r="H35" s="7">
        <v>4330</v>
      </c>
      <c r="I35" s="7">
        <f>15102-H35</f>
        <v>10772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89629</v>
      </c>
      <c r="H36" s="7">
        <f>18492+54</f>
        <v>18546</v>
      </c>
      <c r="I36" s="7">
        <f>35412-H36</f>
        <v>16866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60196</v>
      </c>
      <c r="H37" s="7">
        <f>16342+180</f>
        <v>16522</v>
      </c>
      <c r="I37" s="7">
        <v>41105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29831</v>
      </c>
      <c r="H38" s="7">
        <f>4037+11820</f>
        <v>15857</v>
      </c>
      <c r="I38" s="7">
        <f>24977-H38</f>
        <v>9120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74571</v>
      </c>
      <c r="H39" s="7">
        <f>10030+1202</f>
        <v>11232</v>
      </c>
      <c r="I39" s="7">
        <f>40818-H39</f>
        <v>29586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2497</v>
      </c>
      <c r="H40" s="7"/>
      <c r="I40" s="7">
        <v>407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8009</v>
      </c>
      <c r="H41" s="7">
        <v>50</v>
      </c>
      <c r="I41" s="7">
        <f>1476-H41</f>
        <v>1426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5221</v>
      </c>
      <c r="H42" s="7">
        <v>1248</v>
      </c>
      <c r="I42" s="7">
        <f>2384-H42</f>
        <v>1136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7109</v>
      </c>
      <c r="H43" s="7">
        <v>40</v>
      </c>
      <c r="I43" s="7">
        <f>1097-H43</f>
        <v>1057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28291</v>
      </c>
      <c r="H44" s="7">
        <f>2652+445</f>
        <v>3097</v>
      </c>
      <c r="I44" s="7">
        <f>11824-H44</f>
        <v>8727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2361</v>
      </c>
      <c r="H45" s="7"/>
      <c r="I45" s="7">
        <v>350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45528</v>
      </c>
      <c r="H46" s="7">
        <f>4665+3029</f>
        <v>7694</v>
      </c>
      <c r="I46" s="7">
        <f>19391-H46</f>
        <v>11697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18846</v>
      </c>
      <c r="H47" s="7">
        <v>1608</v>
      </c>
      <c r="I47" s="7">
        <f>7412-H47</f>
        <v>5804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49050+147+368</f>
        <v>49565</v>
      </c>
      <c r="H48" s="7">
        <v>3748</v>
      </c>
      <c r="I48" s="7">
        <f>18344-H48</f>
        <v>14596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5643</v>
      </c>
      <c r="H49" s="7">
        <v>759</v>
      </c>
      <c r="I49" s="7">
        <f>1384-H49</f>
        <v>625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21852</v>
      </c>
      <c r="H50" s="7">
        <v>1483</v>
      </c>
      <c r="I50" s="7">
        <f>10752-H50</f>
        <v>9269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8597</v>
      </c>
      <c r="H51" s="7"/>
      <c r="I51" s="7">
        <v>1647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880348</v>
      </c>
      <c r="H52" s="12">
        <f t="shared" ref="H52:I52" si="0">SUM(H15:H51)</f>
        <v>184370</v>
      </c>
      <c r="I52" s="12">
        <f t="shared" si="0"/>
        <v>278893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1" workbookViewId="0">
      <selection activeCell="H30" sqref="H3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10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26938</v>
      </c>
      <c r="H15" s="7">
        <v>2515</v>
      </c>
      <c r="I15" s="7">
        <v>36080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14800</v>
      </c>
      <c r="H16" s="7">
        <v>1682</v>
      </c>
      <c r="I16" s="7">
        <v>6414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2290</v>
      </c>
      <c r="H17" s="7"/>
      <c r="I17" s="7">
        <v>299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40146</v>
      </c>
      <c r="H18" s="7">
        <v>1658</v>
      </c>
      <c r="I18" s="7">
        <v>4123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4957</v>
      </c>
      <c r="H19" s="7">
        <v>255</v>
      </c>
      <c r="I19" s="7">
        <v>1630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50357</v>
      </c>
      <c r="H20" s="7">
        <f>15699+8738</f>
        <v>24437</v>
      </c>
      <c r="I20" s="7">
        <v>26973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9388</v>
      </c>
      <c r="H21" s="7">
        <f>4420+1075</f>
        <v>5495</v>
      </c>
      <c r="I21" s="7">
        <v>2126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4933</v>
      </c>
      <c r="H22" s="7">
        <v>418</v>
      </c>
      <c r="I22" s="7">
        <v>3041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5782</v>
      </c>
      <c r="H23" s="7">
        <v>489</v>
      </c>
      <c r="I23" s="7">
        <v>1426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2858</v>
      </c>
      <c r="H24" s="7">
        <v>294</v>
      </c>
      <c r="I24" s="7">
        <v>800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8455</v>
      </c>
      <c r="H25" s="7"/>
      <c r="I25" s="7">
        <v>2220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49927</v>
      </c>
      <c r="H26" s="7">
        <f>891+7902</f>
        <v>8793</v>
      </c>
      <c r="I26" s="7">
        <v>16323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10709</v>
      </c>
      <c r="H27" s="7">
        <v>555</v>
      </c>
      <c r="I27" s="7">
        <v>1864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54160</v>
      </c>
      <c r="H28" s="7">
        <v>3624</v>
      </c>
      <c r="I28" s="7">
        <v>17407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4174</v>
      </c>
      <c r="H29" s="7">
        <v>56</v>
      </c>
      <c r="I29" s="7">
        <v>1009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52837</v>
      </c>
      <c r="H30" s="7">
        <f>35026+1915-773</f>
        <v>36168</v>
      </c>
      <c r="I30" s="7">
        <v>11354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7941</v>
      </c>
      <c r="H31" s="7">
        <v>403</v>
      </c>
      <c r="I31" s="7">
        <v>1051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28615</v>
      </c>
      <c r="H32" s="7">
        <f>15590+715</f>
        <v>16305</v>
      </c>
      <c r="I32" s="7">
        <v>4148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11367</v>
      </c>
      <c r="H33" s="7">
        <f>9+91</f>
        <v>100</v>
      </c>
      <c r="I33" s="7">
        <v>2925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969</v>
      </c>
      <c r="H34" s="7"/>
      <c r="I34" s="7">
        <v>150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51651</v>
      </c>
      <c r="H35" s="7">
        <v>6838</v>
      </c>
      <c r="I35" s="7">
        <v>14487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87874</v>
      </c>
      <c r="H36" s="7">
        <f>36+21091</f>
        <v>21127</v>
      </c>
      <c r="I36" s="7">
        <v>24122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72364</v>
      </c>
      <c r="H37" s="7">
        <f>319+14193</f>
        <v>14512</v>
      </c>
      <c r="I37" s="7">
        <v>54641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28859</v>
      </c>
      <c r="H38" s="7">
        <f>13181+3351</f>
        <v>16532</v>
      </c>
      <c r="I38" s="7">
        <v>13443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75033</v>
      </c>
      <c r="H39" s="7">
        <f>1999+9809</f>
        <v>11808</v>
      </c>
      <c r="I39" s="7">
        <v>26305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1825</v>
      </c>
      <c r="H40" s="7"/>
      <c r="I40" s="7">
        <v>143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16239</v>
      </c>
      <c r="H41" s="7">
        <v>211</v>
      </c>
      <c r="I41" s="7">
        <v>1565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5593</v>
      </c>
      <c r="H42" s="7">
        <v>1298</v>
      </c>
      <c r="I42" s="7">
        <v>1357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7255</v>
      </c>
      <c r="H43" s="7">
        <v>65</v>
      </c>
      <c r="I43" s="7">
        <v>1551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27737</v>
      </c>
      <c r="H44" s="7">
        <f>238+3345</f>
        <v>3583</v>
      </c>
      <c r="I44" s="7">
        <v>14397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2108</v>
      </c>
      <c r="H45" s="7"/>
      <c r="I45" s="7">
        <v>454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43733</v>
      </c>
      <c r="H46" s="7">
        <f>2812+4735</f>
        <v>7547</v>
      </c>
      <c r="I46" s="7">
        <v>13825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16009</v>
      </c>
      <c r="H47" s="7">
        <v>1403</v>
      </c>
      <c r="I47" s="7">
        <v>7651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50902+116+330</f>
        <v>51348</v>
      </c>
      <c r="H48" s="7">
        <f>2002+5089</f>
        <v>7091</v>
      </c>
      <c r="I48" s="7">
        <v>17207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5787</v>
      </c>
      <c r="H49" s="7">
        <v>510</v>
      </c>
      <c r="I49" s="7">
        <v>961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23887</v>
      </c>
      <c r="H50" s="7">
        <v>1739</v>
      </c>
      <c r="I50" s="7">
        <v>10219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6922</v>
      </c>
      <c r="H51" s="7"/>
      <c r="I51" s="7">
        <v>1393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915827</v>
      </c>
      <c r="H52" s="12">
        <f t="shared" ref="H52:I52" si="0">SUM(H15:H51)</f>
        <v>197511</v>
      </c>
      <c r="I52" s="12">
        <f t="shared" si="0"/>
        <v>345084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1" workbookViewId="0">
      <selection activeCell="H52" sqref="H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11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24866</v>
      </c>
      <c r="H15" s="7">
        <v>5560</v>
      </c>
      <c r="I15" s="7">
        <v>40427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11077</v>
      </c>
      <c r="H16" s="7">
        <v>1515</v>
      </c>
      <c r="I16" s="7">
        <v>6937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2631</v>
      </c>
      <c r="H17" s="7"/>
      <c r="I17" s="7">
        <v>327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41361</v>
      </c>
      <c r="H18" s="7">
        <v>2371</v>
      </c>
      <c r="I18" s="7">
        <v>4814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4170</v>
      </c>
      <c r="H19" s="7">
        <v>207</v>
      </c>
      <c r="I19" s="7">
        <v>1859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57683</v>
      </c>
      <c r="H20" s="7">
        <f>24240+11745</f>
        <v>35985</v>
      </c>
      <c r="I20" s="7">
        <v>29581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10532</v>
      </c>
      <c r="H21" s="7">
        <f>6094+2031</f>
        <v>8125</v>
      </c>
      <c r="I21" s="7">
        <v>3348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4946</v>
      </c>
      <c r="H22" s="7">
        <v>438</v>
      </c>
      <c r="I22" s="7">
        <v>3797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6388</v>
      </c>
      <c r="H23" s="7">
        <v>450</v>
      </c>
      <c r="I23" s="7">
        <v>2745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2305</v>
      </c>
      <c r="H24" s="7">
        <v>769</v>
      </c>
      <c r="I24" s="7">
        <v>1005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10980</v>
      </c>
      <c r="H25" s="7"/>
      <c r="I25" s="7">
        <v>3561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64741</v>
      </c>
      <c r="H26" s="7">
        <f>164+9488</f>
        <v>9652</v>
      </c>
      <c r="I26" s="7">
        <v>23480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8405</v>
      </c>
      <c r="H27" s="7">
        <v>250</v>
      </c>
      <c r="I27" s="7">
        <v>2376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59239</v>
      </c>
      <c r="H28" s="7">
        <v>3637</v>
      </c>
      <c r="I28" s="7">
        <v>16674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5506</v>
      </c>
      <c r="H29" s="7">
        <v>106</v>
      </c>
      <c r="I29" s="7">
        <v>1316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50755</v>
      </c>
      <c r="H30" s="7">
        <f>39717+1283</f>
        <v>41000</v>
      </c>
      <c r="I30" s="7">
        <v>12884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14185</v>
      </c>
      <c r="H31" s="7">
        <v>288</v>
      </c>
      <c r="I31" s="7">
        <v>1754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29479</v>
      </c>
      <c r="H32" s="7">
        <f>618+20668</f>
        <v>21286</v>
      </c>
      <c r="I32" s="7">
        <v>5794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10913</v>
      </c>
      <c r="H33" s="7">
        <v>85</v>
      </c>
      <c r="I33" s="7">
        <v>3974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850</v>
      </c>
      <c r="H34" s="7"/>
      <c r="I34" s="7">
        <v>172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70139</v>
      </c>
      <c r="H35" s="7">
        <v>5692</v>
      </c>
      <c r="I35" s="7">
        <v>16575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94874</v>
      </c>
      <c r="H36" s="7">
        <f>24+34560</f>
        <v>34584</v>
      </c>
      <c r="I36" s="7">
        <v>32652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67004</v>
      </c>
      <c r="H37" s="7">
        <f>348+15606</f>
        <v>15954</v>
      </c>
      <c r="I37" s="7">
        <v>74750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36748</v>
      </c>
      <c r="H38" s="7">
        <f>18607+3172</f>
        <v>21779</v>
      </c>
      <c r="I38" s="7">
        <v>16578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84234</v>
      </c>
      <c r="H39" s="7">
        <f>2469+9464</f>
        <v>11933</v>
      </c>
      <c r="I39" s="7">
        <v>30120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1673</v>
      </c>
      <c r="H40" s="7"/>
      <c r="I40" s="7">
        <v>386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10029</v>
      </c>
      <c r="H41" s="7">
        <v>789</v>
      </c>
      <c r="I41" s="7">
        <v>2476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5593</v>
      </c>
      <c r="H42" s="7">
        <v>1369</v>
      </c>
      <c r="I42" s="7">
        <v>1710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5841</v>
      </c>
      <c r="H43" s="7">
        <v>55</v>
      </c>
      <c r="I43" s="7">
        <v>2680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31273</v>
      </c>
      <c r="H44" s="7">
        <f>307+3595</f>
        <v>3902</v>
      </c>
      <c r="I44" s="7">
        <v>15645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1504</v>
      </c>
      <c r="H45" s="7"/>
      <c r="I45" s="7">
        <v>507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53406</v>
      </c>
      <c r="H46" s="7">
        <f>2575+4330</f>
        <v>6905</v>
      </c>
      <c r="I46" s="7">
        <v>13415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18258</v>
      </c>
      <c r="H47" s="7">
        <v>3104</v>
      </c>
      <c r="I47" s="7">
        <v>11636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60831</v>
      </c>
      <c r="H48" s="7">
        <f>980+4951</f>
        <v>5931</v>
      </c>
      <c r="I48" s="7">
        <v>19383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6745</v>
      </c>
      <c r="H49" s="7">
        <v>407</v>
      </c>
      <c r="I49" s="7">
        <v>1336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25585</v>
      </c>
      <c r="H50" s="7">
        <v>1408</v>
      </c>
      <c r="I50" s="7">
        <v>14286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6780</v>
      </c>
      <c r="H51" s="7"/>
      <c r="I51" s="7">
        <v>2226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1001529</v>
      </c>
      <c r="H52" s="12">
        <f t="shared" ref="H52:I52" si="0">SUM(H15:H51)</f>
        <v>245536</v>
      </c>
      <c r="I52" s="12">
        <f t="shared" si="0"/>
        <v>423186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8" workbookViewId="0">
      <selection activeCell="H52" sqref="H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5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24307</v>
      </c>
      <c r="H15" s="7">
        <v>5204</v>
      </c>
      <c r="I15" s="7">
        <v>38106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23008</v>
      </c>
      <c r="H16" s="7">
        <v>1164</v>
      </c>
      <c r="I16" s="7">
        <v>6187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2345</v>
      </c>
      <c r="H17" s="7"/>
      <c r="I17" s="7">
        <v>398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54569</v>
      </c>
      <c r="H18" s="7">
        <v>1821</v>
      </c>
      <c r="I18" s="7">
        <v>4641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4326</v>
      </c>
      <c r="H19" s="7">
        <v>205</v>
      </c>
      <c r="I19" s="7">
        <v>1699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50942</v>
      </c>
      <c r="H20" s="7">
        <f>21565+12499</f>
        <v>34064</v>
      </c>
      <c r="I20" s="7">
        <v>31749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12486</v>
      </c>
      <c r="H21" s="7">
        <f>4476+1112</f>
        <v>5588</v>
      </c>
      <c r="I21" s="7">
        <v>3552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5545</v>
      </c>
      <c r="H22" s="7"/>
      <c r="I22" s="7">
        <v>4492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6162</v>
      </c>
      <c r="H23" s="7">
        <v>390</v>
      </c>
      <c r="I23" s="7">
        <v>3281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2500</v>
      </c>
      <c r="H24" s="7">
        <v>910</v>
      </c>
      <c r="I24" s="7">
        <v>1151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14130</v>
      </c>
      <c r="H25" s="7"/>
      <c r="I25" s="7">
        <v>4199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72170</v>
      </c>
      <c r="H26" s="7">
        <f>964+7601</f>
        <v>8565</v>
      </c>
      <c r="I26" s="7">
        <v>20367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7613</v>
      </c>
      <c r="H27" s="7">
        <v>1662</v>
      </c>
      <c r="I27" s="7">
        <v>2142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53213</v>
      </c>
      <c r="H28" s="7">
        <v>3186</v>
      </c>
      <c r="I28" s="7">
        <v>16481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5060</v>
      </c>
      <c r="H29" s="7">
        <v>75</v>
      </c>
      <c r="I29" s="7">
        <v>1286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53948</v>
      </c>
      <c r="H30" s="7">
        <f>37263+1252</f>
        <v>38515</v>
      </c>
      <c r="I30" s="7">
        <v>13140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11852</v>
      </c>
      <c r="H31" s="7">
        <v>246</v>
      </c>
      <c r="I31" s="7">
        <v>1374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22143</v>
      </c>
      <c r="H32" s="7">
        <f>17986+597</f>
        <v>18583</v>
      </c>
      <c r="I32" s="7">
        <v>7225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9176</v>
      </c>
      <c r="H33" s="7">
        <v>110</v>
      </c>
      <c r="I33" s="7">
        <v>4672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772</v>
      </c>
      <c r="H34" s="7"/>
      <c r="I34" s="7">
        <v>170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55925</v>
      </c>
      <c r="H35" s="7">
        <v>3221</v>
      </c>
      <c r="I35" s="7">
        <v>12745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80839</v>
      </c>
      <c r="H36" s="7">
        <f>19+30118</f>
        <v>30137</v>
      </c>
      <c r="I36" s="7">
        <v>30103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64417</v>
      </c>
      <c r="H37" s="7">
        <f>133+13138</f>
        <v>13271</v>
      </c>
      <c r="I37" s="7">
        <v>71563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30759</v>
      </c>
      <c r="H38" s="7">
        <f>15281+2617</f>
        <v>17898</v>
      </c>
      <c r="I38" s="7">
        <v>18311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76561</v>
      </c>
      <c r="H39" s="7">
        <f>2823+7718</f>
        <v>10541</v>
      </c>
      <c r="I39" s="7">
        <v>28726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1018</v>
      </c>
      <c r="H40" s="7"/>
      <c r="I40" s="7">
        <v>407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11652</v>
      </c>
      <c r="H41" s="7">
        <v>824</v>
      </c>
      <c r="I41" s="7">
        <v>3742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6095</v>
      </c>
      <c r="H42" s="7">
        <v>1595</v>
      </c>
      <c r="I42" s="7">
        <v>1548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5090</v>
      </c>
      <c r="H43" s="7">
        <v>50</v>
      </c>
      <c r="I43" s="7">
        <v>2889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28590</v>
      </c>
      <c r="H44" s="7">
        <f>275+3201</f>
        <v>3476</v>
      </c>
      <c r="I44" s="7">
        <v>15130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1387</v>
      </c>
      <c r="H45" s="7"/>
      <c r="I45" s="7">
        <v>589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45765</v>
      </c>
      <c r="H46" s="7">
        <f>3021+4085</f>
        <v>7106</v>
      </c>
      <c r="I46" s="7">
        <v>13603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15711</v>
      </c>
      <c r="H47" s="7">
        <v>2912</v>
      </c>
      <c r="I47" s="7">
        <v>9699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68421+161+388</f>
        <v>68970</v>
      </c>
      <c r="H48" s="7">
        <f>4316+4574</f>
        <v>8890</v>
      </c>
      <c r="I48" s="7">
        <v>20064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5793</v>
      </c>
      <c r="H49" s="7">
        <v>311</v>
      </c>
      <c r="I49" s="7">
        <v>2372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24203</v>
      </c>
      <c r="H50" s="7">
        <v>1391</v>
      </c>
      <c r="I50" s="7">
        <v>14295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6218</v>
      </c>
      <c r="H51" s="7"/>
      <c r="I51" s="7">
        <v>2380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965260</v>
      </c>
      <c r="H52" s="12">
        <f t="shared" ref="H52:I52" si="0">SUM(H15:H51)</f>
        <v>221911</v>
      </c>
      <c r="I52" s="12">
        <f t="shared" si="0"/>
        <v>414478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G15" sqref="G15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12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33568</v>
      </c>
      <c r="H15" s="7">
        <v>9547</v>
      </c>
      <c r="I15" s="7">
        <v>52772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24432</v>
      </c>
      <c r="H16" s="7">
        <v>1706</v>
      </c>
      <c r="I16" s="7">
        <v>9942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1837</v>
      </c>
      <c r="H17" s="7"/>
      <c r="I17" s="7">
        <v>511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61934</v>
      </c>
      <c r="H18" s="7">
        <v>2983</v>
      </c>
      <c r="I18" s="7">
        <v>6813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5373</v>
      </c>
      <c r="H19" s="7">
        <v>214</v>
      </c>
      <c r="I19" s="7">
        <v>1483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62394</v>
      </c>
      <c r="H20" s="7">
        <f>24130+13088</f>
        <v>37218</v>
      </c>
      <c r="I20" s="7">
        <v>36160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10959</v>
      </c>
      <c r="H21" s="7">
        <f>5546+1558</f>
        <v>7104</v>
      </c>
      <c r="I21" s="7">
        <v>4062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6458</v>
      </c>
      <c r="H22" s="7">
        <v>497</v>
      </c>
      <c r="I22" s="7">
        <v>6885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7126</v>
      </c>
      <c r="H23" s="7">
        <f>200+290</f>
        <v>490</v>
      </c>
      <c r="I23" s="7">
        <v>4371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2656</v>
      </c>
      <c r="H24" s="7">
        <v>1060</v>
      </c>
      <c r="I24" s="7">
        <v>1100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15425</v>
      </c>
      <c r="H25" s="7"/>
      <c r="I25" s="7">
        <v>4894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90750</v>
      </c>
      <c r="H26" s="7">
        <f>106+12902-2061</f>
        <v>10947</v>
      </c>
      <c r="I26" s="7">
        <f>23585+2061</f>
        <v>25646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10404</v>
      </c>
      <c r="H27" s="7">
        <v>1148</v>
      </c>
      <c r="I27" s="7">
        <v>3895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70738</v>
      </c>
      <c r="H28" s="7">
        <v>3397</v>
      </c>
      <c r="I28" s="7">
        <v>20806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5841</v>
      </c>
      <c r="H29" s="7">
        <v>135</v>
      </c>
      <c r="I29" s="7">
        <v>1565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61639</v>
      </c>
      <c r="H30" s="7">
        <f>45265+1472</f>
        <v>46737</v>
      </c>
      <c r="I30" s="7">
        <v>17670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15689</v>
      </c>
      <c r="H31" s="7">
        <v>286</v>
      </c>
      <c r="I31" s="7">
        <v>1635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33798</v>
      </c>
      <c r="H32" s="7">
        <f>21182+619</f>
        <v>21801</v>
      </c>
      <c r="I32" s="7">
        <v>8416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15182</v>
      </c>
      <c r="H33" s="7">
        <v>115</v>
      </c>
      <c r="I33" s="7">
        <v>6160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819</v>
      </c>
      <c r="H34" s="7"/>
      <c r="I34" s="7">
        <v>450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81780</v>
      </c>
      <c r="H35" s="7">
        <v>6738</v>
      </c>
      <c r="I35" s="7">
        <v>18511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98354</v>
      </c>
      <c r="H36" s="7">
        <f>2654+15487</f>
        <v>18141</v>
      </c>
      <c r="I36" s="7">
        <v>42110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92618</v>
      </c>
      <c r="H37" s="7">
        <f>4817+11734</f>
        <v>16551</v>
      </c>
      <c r="I37" s="7">
        <v>104883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44390</v>
      </c>
      <c r="H38" s="7">
        <f>18690+3300</f>
        <v>21990</v>
      </c>
      <c r="I38" s="7">
        <v>19434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109334</v>
      </c>
      <c r="H39" s="7">
        <f>2323+25533</f>
        <v>27856</v>
      </c>
      <c r="I39" s="7">
        <v>36611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1331</v>
      </c>
      <c r="H40" s="7"/>
      <c r="I40" s="7">
        <v>528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14267</v>
      </c>
      <c r="H41" s="7">
        <v>1164</v>
      </c>
      <c r="I41" s="7">
        <v>3298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8142</v>
      </c>
      <c r="H42" s="7">
        <v>2047</v>
      </c>
      <c r="I42" s="7">
        <v>3231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5951</v>
      </c>
      <c r="H43" s="7">
        <v>40</v>
      </c>
      <c r="I43" s="7">
        <v>3907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32706</v>
      </c>
      <c r="H44" s="7">
        <f>1416+4692</f>
        <v>6108</v>
      </c>
      <c r="I44" s="7">
        <v>20605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1473</v>
      </c>
      <c r="H45" s="7"/>
      <c r="I45" s="7">
        <v>730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74128</v>
      </c>
      <c r="H46" s="7">
        <f>139+5053</f>
        <v>5192</v>
      </c>
      <c r="I46" s="7">
        <v>17530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19657</v>
      </c>
      <c r="H47" s="7">
        <v>3685</v>
      </c>
      <c r="I47" s="7">
        <v>13286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69824+1127+634</f>
        <v>71585</v>
      </c>
      <c r="H48" s="7">
        <f>6259+6638</f>
        <v>12897</v>
      </c>
      <c r="I48" s="7">
        <v>25006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7106</v>
      </c>
      <c r="H49" s="7">
        <v>291</v>
      </c>
      <c r="I49" s="7">
        <v>2671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27987</v>
      </c>
      <c r="H50" s="7">
        <v>1857</v>
      </c>
      <c r="I50" s="7">
        <v>16349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8993</v>
      </c>
      <c r="H51" s="7"/>
      <c r="I51" s="7">
        <v>2649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1236824</v>
      </c>
      <c r="H52" s="12">
        <f t="shared" ref="H52:I52" si="0">SUM(H15:H51)</f>
        <v>269942</v>
      </c>
      <c r="I52" s="12">
        <f t="shared" si="0"/>
        <v>546575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7:I7"/>
    <mergeCell ref="H1:I1"/>
    <mergeCell ref="H2:I2"/>
    <mergeCell ref="H3:I3"/>
    <mergeCell ref="H4:I4"/>
    <mergeCell ref="H5:I5"/>
    <mergeCell ref="H6:I6"/>
    <mergeCell ref="A52:B52"/>
    <mergeCell ref="A9:I10"/>
    <mergeCell ref="A12:A14"/>
    <mergeCell ref="B12:B14"/>
    <mergeCell ref="C12:C14"/>
    <mergeCell ref="G13:I13"/>
    <mergeCell ref="D12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G15" sqref="G15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13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32414</v>
      </c>
      <c r="H15" s="7">
        <v>16161</v>
      </c>
      <c r="I15" s="7">
        <v>53100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12012</v>
      </c>
      <c r="H16" s="7">
        <v>1133</v>
      </c>
      <c r="I16" s="7">
        <v>8142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1682</v>
      </c>
      <c r="H17" s="7"/>
      <c r="I17" s="7">
        <v>589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65989</v>
      </c>
      <c r="H18" s="7">
        <v>2740</v>
      </c>
      <c r="I18" s="7">
        <v>6024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4886</v>
      </c>
      <c r="H19" s="7">
        <v>215</v>
      </c>
      <c r="I19" s="7">
        <v>1419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63950</v>
      </c>
      <c r="H20" s="7">
        <f>27655+17662</f>
        <v>45317</v>
      </c>
      <c r="I20" s="7">
        <v>39727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10777</v>
      </c>
      <c r="H21" s="7">
        <f>6096+1324</f>
        <v>7420</v>
      </c>
      <c r="I21" s="7">
        <v>3116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7281</v>
      </c>
      <c r="H22" s="7">
        <v>289</v>
      </c>
      <c r="I22" s="7">
        <v>6300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4988</v>
      </c>
      <c r="H23" s="7">
        <f>176+282</f>
        <v>458</v>
      </c>
      <c r="I23" s="7">
        <v>3083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2444</v>
      </c>
      <c r="H24" s="7">
        <v>1188</v>
      </c>
      <c r="I24" s="7">
        <v>928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12840</v>
      </c>
      <c r="H25" s="7"/>
      <c r="I25" s="7">
        <v>4300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84081</v>
      </c>
      <c r="H26" s="7">
        <f>1150+13278-2976</f>
        <v>11452</v>
      </c>
      <c r="I26" s="7">
        <f>21669+2976</f>
        <v>24645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10320</v>
      </c>
      <c r="H27" s="7">
        <v>2261</v>
      </c>
      <c r="I27" s="7">
        <v>4079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76678</v>
      </c>
      <c r="H28" s="7">
        <v>3555</v>
      </c>
      <c r="I28" s="7">
        <v>23865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6791</v>
      </c>
      <c r="H29" s="7">
        <v>122</v>
      </c>
      <c r="I29" s="7">
        <v>1278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61799</v>
      </c>
      <c r="H30" s="7">
        <f>42420+1378</f>
        <v>43798</v>
      </c>
      <c r="I30" s="7">
        <v>17795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15194</v>
      </c>
      <c r="H31" s="7">
        <v>241</v>
      </c>
      <c r="I31" s="7">
        <v>1562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29113</v>
      </c>
      <c r="H32" s="7">
        <f>28418+628</f>
        <v>29046</v>
      </c>
      <c r="I32" s="7">
        <v>8556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13590</v>
      </c>
      <c r="H33" s="7">
        <v>103</v>
      </c>
      <c r="I33" s="7">
        <v>6504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803</v>
      </c>
      <c r="H34" s="7"/>
      <c r="I34" s="7">
        <v>362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86339</v>
      </c>
      <c r="H35" s="7">
        <v>6686</v>
      </c>
      <c r="I35" s="7">
        <v>17484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92381</v>
      </c>
      <c r="H36" s="7">
        <f>1235+16007</f>
        <v>17242</v>
      </c>
      <c r="I36" s="7">
        <v>44157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69418</v>
      </c>
      <c r="H37" s="7">
        <f>3068+12921</f>
        <v>15989</v>
      </c>
      <c r="I37" s="7">
        <v>103586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43546</v>
      </c>
      <c r="H38" s="7">
        <f>18292+3603</f>
        <v>21895</v>
      </c>
      <c r="I38" s="7">
        <v>25268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112909</v>
      </c>
      <c r="H39" s="7">
        <f>4820+37053</f>
        <v>41873</v>
      </c>
      <c r="I39" s="7">
        <v>43849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622</v>
      </c>
      <c r="H40" s="7"/>
      <c r="I40" s="7">
        <v>469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18162</v>
      </c>
      <c r="H41" s="7">
        <v>1520</v>
      </c>
      <c r="I41" s="7">
        <v>3844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8522</v>
      </c>
      <c r="H42" s="7">
        <v>2558</v>
      </c>
      <c r="I42" s="7">
        <v>3269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4759</v>
      </c>
      <c r="H43" s="7">
        <v>6</v>
      </c>
      <c r="I43" s="7">
        <v>3415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42434</v>
      </c>
      <c r="H44" s="7">
        <f>1063+3977</f>
        <v>5040</v>
      </c>
      <c r="I44" s="7">
        <v>18173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1767</v>
      </c>
      <c r="H45" s="7"/>
      <c r="I45" s="7">
        <v>652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62081</v>
      </c>
      <c r="H46" s="7">
        <f>1550+3886</f>
        <v>5436</v>
      </c>
      <c r="I46" s="7">
        <v>15332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19996</v>
      </c>
      <c r="H47" s="7">
        <v>3098</v>
      </c>
      <c r="I47" s="7">
        <v>13160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65624</v>
      </c>
      <c r="H48" s="7">
        <f>7216+9315</f>
        <v>16531</v>
      </c>
      <c r="I48" s="7">
        <v>24979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6316</v>
      </c>
      <c r="H49" s="7">
        <v>421</v>
      </c>
      <c r="I49" s="7">
        <v>2864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28003</v>
      </c>
      <c r="H50" s="7">
        <v>1340</v>
      </c>
      <c r="I50" s="7">
        <v>17622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8632</v>
      </c>
      <c r="H51" s="7"/>
      <c r="I51" s="7">
        <v>2711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1189143</v>
      </c>
      <c r="H52" s="12">
        <f t="shared" ref="H52:I52" si="0">SUM(H15:H51)</f>
        <v>305134</v>
      </c>
      <c r="I52" s="12">
        <f t="shared" si="0"/>
        <v>556208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2" workbookViewId="0">
      <selection activeCell="G15" sqref="G15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7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27212</v>
      </c>
      <c r="H15" s="7">
        <v>14510</v>
      </c>
      <c r="I15" s="7">
        <v>42777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25694</v>
      </c>
      <c r="H16" s="7">
        <v>1274</v>
      </c>
      <c r="I16" s="7">
        <v>8339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1749</v>
      </c>
      <c r="H17" s="7"/>
      <c r="I17" s="7">
        <v>356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57364</v>
      </c>
      <c r="H18" s="7">
        <v>2971</v>
      </c>
      <c r="I18" s="7">
        <v>5018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4542</v>
      </c>
      <c r="H19" s="7">
        <v>193</v>
      </c>
      <c r="I19" s="7">
        <v>1415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53402</v>
      </c>
      <c r="H20" s="7">
        <f>20418+12836</f>
        <v>33254</v>
      </c>
      <c r="I20" s="7">
        <v>30077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8769</v>
      </c>
      <c r="H21" s="7">
        <f>7016+1374</f>
        <v>8390</v>
      </c>
      <c r="I21" s="7">
        <v>3098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5326</v>
      </c>
      <c r="H22" s="7">
        <v>270</v>
      </c>
      <c r="I22" s="7">
        <v>4861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4939</v>
      </c>
      <c r="H23" s="7">
        <f>200+220</f>
        <v>420</v>
      </c>
      <c r="I23" s="7">
        <v>2936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2423</v>
      </c>
      <c r="H24" s="7">
        <v>879</v>
      </c>
      <c r="I24" s="7">
        <v>522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11155</v>
      </c>
      <c r="H25" s="7"/>
      <c r="I25" s="7">
        <v>3315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80051</v>
      </c>
      <c r="H26" s="7">
        <f>175+12928-2586</f>
        <v>10517</v>
      </c>
      <c r="I26" s="7">
        <f>16875+2586</f>
        <v>19461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9284</v>
      </c>
      <c r="H27" s="7">
        <v>1397</v>
      </c>
      <c r="I27" s="7">
        <v>3163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58662</v>
      </c>
      <c r="H28" s="7">
        <v>2846</v>
      </c>
      <c r="I28" s="7">
        <v>15627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5439</v>
      </c>
      <c r="H29" s="7">
        <v>96</v>
      </c>
      <c r="I29" s="7">
        <v>914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49844</v>
      </c>
      <c r="H30" s="7">
        <f>36605+1401</f>
        <v>38006</v>
      </c>
      <c r="I30" s="7">
        <v>14014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11397</v>
      </c>
      <c r="H31" s="7">
        <v>261</v>
      </c>
      <c r="I31" s="7">
        <v>1299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27018</v>
      </c>
      <c r="H32" s="7">
        <f>25152+611</f>
        <v>25763</v>
      </c>
      <c r="I32" s="7">
        <v>7332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11051</v>
      </c>
      <c r="H33" s="7">
        <v>100</v>
      </c>
      <c r="I33" s="7">
        <v>4489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794</v>
      </c>
      <c r="H34" s="7"/>
      <c r="I34" s="7">
        <v>173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67774</v>
      </c>
      <c r="H35" s="7">
        <v>5121</v>
      </c>
      <c r="I35" s="7">
        <v>13797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86263</v>
      </c>
      <c r="H36" s="7">
        <f>1518+17096</f>
        <v>18614</v>
      </c>
      <c r="I36" s="7">
        <v>35726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79751</v>
      </c>
      <c r="H37" s="7">
        <f>3143+12764</f>
        <v>15907</v>
      </c>
      <c r="I37" s="7">
        <v>81733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37928</v>
      </c>
      <c r="H38" s="7">
        <f>18174+3123</f>
        <v>21297</v>
      </c>
      <c r="I38" s="7">
        <v>17610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90100</v>
      </c>
      <c r="H39" s="7">
        <f>4064+24473</f>
        <v>28537</v>
      </c>
      <c r="I39" s="7">
        <v>31778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685</v>
      </c>
      <c r="H40" s="7"/>
      <c r="I40" s="7">
        <v>317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10751</v>
      </c>
      <c r="H41" s="7">
        <v>989</v>
      </c>
      <c r="I41" s="7">
        <v>2851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6659</v>
      </c>
      <c r="H42" s="7">
        <v>2361</v>
      </c>
      <c r="I42" s="7">
        <v>2766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4462</v>
      </c>
      <c r="H43" s="7">
        <v>7</v>
      </c>
      <c r="I43" s="7">
        <v>2181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30302</v>
      </c>
      <c r="H44" s="7">
        <f>1238+3720</f>
        <v>4958</v>
      </c>
      <c r="I44" s="7">
        <v>15851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1023</v>
      </c>
      <c r="H45" s="7"/>
      <c r="I45" s="7">
        <v>436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58204</v>
      </c>
      <c r="H46" s="7">
        <f>1500+4561</f>
        <v>6061</v>
      </c>
      <c r="I46" s="7">
        <v>12929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15554</v>
      </c>
      <c r="H47" s="7">
        <v>1433</v>
      </c>
      <c r="I47" s="7">
        <v>10736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62383</v>
      </c>
      <c r="H48" s="7">
        <f>4294+5558</f>
        <v>9852</v>
      </c>
      <c r="I48" s="7">
        <v>19332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6152</v>
      </c>
      <c r="H49" s="7">
        <v>448</v>
      </c>
      <c r="I49" s="7">
        <v>1904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23755</v>
      </c>
      <c r="H50" s="7">
        <v>1094</v>
      </c>
      <c r="I50" s="7">
        <v>14179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5978</v>
      </c>
      <c r="H51" s="7"/>
      <c r="I51" s="7">
        <v>1787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1043839</v>
      </c>
      <c r="H52" s="12">
        <f t="shared" ref="H52:I52" si="0">SUM(H15:H51)</f>
        <v>257826</v>
      </c>
      <c r="I52" s="12">
        <f t="shared" si="0"/>
        <v>435099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0" workbookViewId="0">
      <selection activeCell="I54" sqref="I54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25329</v>
      </c>
      <c r="H15" s="7">
        <v>13004</v>
      </c>
      <c r="I15" s="7">
        <v>37802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16833</v>
      </c>
      <c r="H16" s="7">
        <v>1085</v>
      </c>
      <c r="I16" s="7">
        <v>3843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1903</v>
      </c>
      <c r="H17" s="7"/>
      <c r="I17" s="7">
        <v>320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56190</v>
      </c>
      <c r="H18" s="7">
        <v>2240</v>
      </c>
      <c r="I18" s="7">
        <v>3789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4538</v>
      </c>
      <c r="H19" s="7">
        <v>219</v>
      </c>
      <c r="I19" s="7">
        <v>1363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57260</v>
      </c>
      <c r="H20" s="7">
        <f>20158+13198</f>
        <v>33356</v>
      </c>
      <c r="I20" s="7">
        <v>26193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10039</v>
      </c>
      <c r="H21" s="7">
        <f>5906+3002</f>
        <v>8908</v>
      </c>
      <c r="I21" s="7">
        <v>2279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4525</v>
      </c>
      <c r="H22" s="7">
        <v>392</v>
      </c>
      <c r="I22" s="7">
        <v>3200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5819</v>
      </c>
      <c r="H23" s="7">
        <v>522</v>
      </c>
      <c r="I23" s="7">
        <v>2797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2351</v>
      </c>
      <c r="H24" s="7">
        <v>821</v>
      </c>
      <c r="I24" s="7">
        <v>602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10385</v>
      </c>
      <c r="H25" s="7"/>
      <c r="I25" s="7">
        <v>2221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64972</v>
      </c>
      <c r="H26" s="7">
        <f>94+8696</f>
        <v>8790</v>
      </c>
      <c r="I26" s="7">
        <v>19613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12371</v>
      </c>
      <c r="H27" s="7">
        <v>1396</v>
      </c>
      <c r="I27" s="7">
        <v>2330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58262</v>
      </c>
      <c r="H28" s="7">
        <v>2897</v>
      </c>
      <c r="I28" s="7">
        <v>11453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5065</v>
      </c>
      <c r="H29" s="7">
        <v>108</v>
      </c>
      <c r="I29" s="7">
        <v>746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53679</v>
      </c>
      <c r="H30" s="7">
        <f>40282+1365</f>
        <v>41647</v>
      </c>
      <c r="I30" s="7">
        <v>10782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11489</v>
      </c>
      <c r="H31" s="7">
        <v>286</v>
      </c>
      <c r="I31" s="7">
        <v>880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29722</v>
      </c>
      <c r="H32" s="7">
        <f>19209+557</f>
        <v>19766</v>
      </c>
      <c r="I32" s="7">
        <v>5504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12042</v>
      </c>
      <c r="H33" s="7">
        <v>93</v>
      </c>
      <c r="I33" s="7">
        <v>4271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788</v>
      </c>
      <c r="H34" s="7"/>
      <c r="I34" s="7">
        <v>69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62177</v>
      </c>
      <c r="H35" s="7">
        <v>5271</v>
      </c>
      <c r="I35" s="7">
        <v>8728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85861</v>
      </c>
      <c r="H36" s="7">
        <f>109+15935</f>
        <v>16044</v>
      </c>
      <c r="I36" s="7">
        <v>23144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78222</v>
      </c>
      <c r="H37" s="7">
        <f>178+12877</f>
        <v>13055</v>
      </c>
      <c r="I37" s="7">
        <v>74816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34707</v>
      </c>
      <c r="H38" s="7">
        <f>17109+3105</f>
        <v>20214</v>
      </c>
      <c r="I38" s="7">
        <v>11441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86858</v>
      </c>
      <c r="H39" s="7">
        <f>2539+20831</f>
        <v>23370</v>
      </c>
      <c r="I39" s="7">
        <v>22582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1731</v>
      </c>
      <c r="H40" s="7"/>
      <c r="I40" s="7">
        <v>230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14569</v>
      </c>
      <c r="H41" s="7">
        <v>1061</v>
      </c>
      <c r="I41" s="7">
        <v>2791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6306</v>
      </c>
      <c r="H42" s="7">
        <v>2622</v>
      </c>
      <c r="I42" s="7">
        <v>1415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5437</v>
      </c>
      <c r="H43" s="7">
        <v>8</v>
      </c>
      <c r="I43" s="7">
        <v>2199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30183</v>
      </c>
      <c r="H44" s="7">
        <f>1245+4053</f>
        <v>5298</v>
      </c>
      <c r="I44" s="7">
        <v>12296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1253</v>
      </c>
      <c r="H45" s="7"/>
      <c r="I45" s="7">
        <v>333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58104</v>
      </c>
      <c r="H46" s="7">
        <f>1689+4133</f>
        <v>5822</v>
      </c>
      <c r="I46" s="7">
        <v>8022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17403</v>
      </c>
      <c r="H47" s="7">
        <v>1136</v>
      </c>
      <c r="I47" s="7">
        <v>10062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60616+514+549</f>
        <v>61679</v>
      </c>
      <c r="H48" s="7">
        <f>6212+6481</f>
        <v>12693</v>
      </c>
      <c r="I48" s="7">
        <v>16528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6569</v>
      </c>
      <c r="H49" s="7">
        <v>399</v>
      </c>
      <c r="I49" s="7">
        <v>1561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25310</v>
      </c>
      <c r="H50" s="7">
        <v>1204</v>
      </c>
      <c r="I50" s="7">
        <v>10885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7688</v>
      </c>
      <c r="H51" s="7"/>
      <c r="I51" s="7">
        <v>1548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1027619</v>
      </c>
      <c r="H52" s="12">
        <f t="shared" ref="H52:I52" si="0">SUM(H15:H51)</f>
        <v>243727</v>
      </c>
      <c r="I52" s="12">
        <f t="shared" si="0"/>
        <v>348638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G15" sqref="G15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8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26665</v>
      </c>
      <c r="H15" s="7">
        <v>14977</v>
      </c>
      <c r="I15" s="7">
        <v>33784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13603</v>
      </c>
      <c r="H16" s="7">
        <v>1442</v>
      </c>
      <c r="I16" s="7">
        <v>4115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1972</v>
      </c>
      <c r="H17" s="7"/>
      <c r="I17" s="7">
        <v>189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49375</v>
      </c>
      <c r="H18" s="7">
        <v>2401</v>
      </c>
      <c r="I18" s="7">
        <v>2163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5283</v>
      </c>
      <c r="H19" s="7">
        <v>239</v>
      </c>
      <c r="I19" s="7">
        <v>583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54284</v>
      </c>
      <c r="H20" s="7">
        <f>19277+10542</f>
        <v>29819</v>
      </c>
      <c r="I20" s="7">
        <v>17950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8401</v>
      </c>
      <c r="H21" s="7">
        <f>4814+2161</f>
        <v>6975</v>
      </c>
      <c r="I21" s="7">
        <v>1258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5569</v>
      </c>
      <c r="H22" s="7">
        <v>427</v>
      </c>
      <c r="I22" s="7">
        <v>1403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5014</v>
      </c>
      <c r="H23" s="7">
        <v>485</v>
      </c>
      <c r="I23" s="7">
        <v>1544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2347</v>
      </c>
      <c r="H24" s="7">
        <v>603</v>
      </c>
      <c r="I24" s="7">
        <v>718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8230</v>
      </c>
      <c r="H25" s="7"/>
      <c r="I25" s="7">
        <v>1380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55142</v>
      </c>
      <c r="H26" s="7">
        <f>76+8136</f>
        <v>8212</v>
      </c>
      <c r="I26" s="7">
        <v>13976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11278</v>
      </c>
      <c r="H27" s="7">
        <v>1002</v>
      </c>
      <c r="I27" s="7">
        <v>2231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58417</v>
      </c>
      <c r="H28" s="7">
        <v>2983</v>
      </c>
      <c r="I28" s="7">
        <v>7189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4931</v>
      </c>
      <c r="H29" s="7">
        <v>100</v>
      </c>
      <c r="I29" s="7">
        <v>253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52187</v>
      </c>
      <c r="H30" s="7">
        <f>36188+1403</f>
        <v>37591</v>
      </c>
      <c r="I30" s="7">
        <v>6987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8551</v>
      </c>
      <c r="H31" s="7">
        <v>268</v>
      </c>
      <c r="I31" s="7">
        <v>418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26441</v>
      </c>
      <c r="H32" s="7">
        <f>17184+597</f>
        <v>17781</v>
      </c>
      <c r="I32" s="7">
        <v>3756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11490</v>
      </c>
      <c r="H33" s="7">
        <v>110</v>
      </c>
      <c r="I33" s="7">
        <v>2076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773</v>
      </c>
      <c r="H34" s="7"/>
      <c r="I34" s="7">
        <v>13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51249</v>
      </c>
      <c r="H35" s="7">
        <v>4986</v>
      </c>
      <c r="I35" s="7">
        <v>5077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90012</v>
      </c>
      <c r="H36" s="7">
        <f>104+15010</f>
        <v>15114</v>
      </c>
      <c r="I36" s="7">
        <v>14377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75808</v>
      </c>
      <c r="H37" s="7">
        <f>151+13907</f>
        <v>14058</v>
      </c>
      <c r="I37" s="7">
        <v>54402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32819</v>
      </c>
      <c r="H38" s="7">
        <f>15448+3441</f>
        <v>18889</v>
      </c>
      <c r="I38" s="7">
        <v>8812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78708</v>
      </c>
      <c r="H39" s="7">
        <f>2711+17217</f>
        <v>19928</v>
      </c>
      <c r="I39" s="7">
        <v>11753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1327</v>
      </c>
      <c r="H40" s="7"/>
      <c r="I40" s="7">
        <v>37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11882</v>
      </c>
      <c r="H41" s="7">
        <v>588</v>
      </c>
      <c r="I41" s="7">
        <v>1813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5738</v>
      </c>
      <c r="H42" s="7">
        <v>2238</v>
      </c>
      <c r="I42" s="7">
        <v>1372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5825</v>
      </c>
      <c r="H43" s="7">
        <v>5</v>
      </c>
      <c r="I43" s="7">
        <v>1148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28679</v>
      </c>
      <c r="H44" s="7">
        <f>1191+3534</f>
        <v>4725</v>
      </c>
      <c r="I44" s="7">
        <v>13452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926</v>
      </c>
      <c r="H45" s="7"/>
      <c r="I45" s="7">
        <v>219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56164</v>
      </c>
      <c r="H46" s="7">
        <f>2890+4280</f>
        <v>7170</v>
      </c>
      <c r="I46" s="7">
        <v>6740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16502</v>
      </c>
      <c r="H47" s="7">
        <v>1135</v>
      </c>
      <c r="I47" s="7">
        <v>6156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60668+488+573</f>
        <v>61729</v>
      </c>
      <c r="H48" s="7">
        <f>6175+5186</f>
        <v>11361</v>
      </c>
      <c r="I48" s="7">
        <v>11802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6235</v>
      </c>
      <c r="H49" s="7">
        <v>438</v>
      </c>
      <c r="I49" s="7">
        <v>940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23231</v>
      </c>
      <c r="H50" s="7">
        <v>1587</v>
      </c>
      <c r="I50" s="7">
        <v>7834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8127</v>
      </c>
      <c r="H51" s="7"/>
      <c r="I51" s="7">
        <v>896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964914</v>
      </c>
      <c r="H52" s="12">
        <f t="shared" ref="H52:I52" si="0">SUM(H15:H51)</f>
        <v>227637</v>
      </c>
      <c r="I52" s="12">
        <f t="shared" si="0"/>
        <v>248816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6" workbookViewId="0">
      <selection activeCell="H52" sqref="H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67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25064</v>
      </c>
      <c r="H15" s="7">
        <v>6459</v>
      </c>
      <c r="I15" s="7">
        <v>27822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13686</v>
      </c>
      <c r="H16" s="7">
        <v>1477</v>
      </c>
      <c r="I16" s="7">
        <v>2329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2150</v>
      </c>
      <c r="H17" s="7"/>
      <c r="I17" s="7">
        <v>220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45590</v>
      </c>
      <c r="H18" s="7">
        <v>2671</v>
      </c>
      <c r="I18" s="7">
        <v>2934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5464</v>
      </c>
      <c r="H19" s="7">
        <v>239</v>
      </c>
      <c r="I19" s="7">
        <v>350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57427</v>
      </c>
      <c r="H20" s="7">
        <f>12040+6077</f>
        <v>18117</v>
      </c>
      <c r="I20" s="7">
        <v>15179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9161</v>
      </c>
      <c r="H21" s="7">
        <f>6518+1217</f>
        <v>7735</v>
      </c>
      <c r="I21" s="7">
        <v>973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5931</v>
      </c>
      <c r="H22" s="7">
        <v>384</v>
      </c>
      <c r="I22" s="7">
        <v>1568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5830</v>
      </c>
      <c r="H23" s="7">
        <v>500</v>
      </c>
      <c r="I23" s="7">
        <v>376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2489</v>
      </c>
      <c r="H24" s="7">
        <v>264</v>
      </c>
      <c r="I24" s="7">
        <v>600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8300</v>
      </c>
      <c r="H25" s="7"/>
      <c r="I25" s="7">
        <v>1455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57332</v>
      </c>
      <c r="H26" s="7">
        <f>107+8913</f>
        <v>9020</v>
      </c>
      <c r="I26" s="7">
        <v>13938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14166</v>
      </c>
      <c r="H27" s="7">
        <v>505</v>
      </c>
      <c r="I27" s="7">
        <v>1251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44269</v>
      </c>
      <c r="H28" s="7">
        <v>2856</v>
      </c>
      <c r="I28" s="7">
        <v>5814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4318</v>
      </c>
      <c r="H29" s="7">
        <v>116</v>
      </c>
      <c r="I29" s="7">
        <v>282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56922</v>
      </c>
      <c r="H30" s="7">
        <f>39578+1747</f>
        <v>41325</v>
      </c>
      <c r="I30" s="7">
        <v>6824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7474</v>
      </c>
      <c r="H31" s="7">
        <v>248</v>
      </c>
      <c r="I31" s="7">
        <v>450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23454</v>
      </c>
      <c r="H32" s="7">
        <f>14675+672</f>
        <v>15347</v>
      </c>
      <c r="I32" s="7">
        <v>2113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11353</v>
      </c>
      <c r="H33" s="7">
        <v>100</v>
      </c>
      <c r="I33" s="7">
        <v>1044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792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50290</v>
      </c>
      <c r="H35" s="7">
        <v>4366</v>
      </c>
      <c r="I35" s="7">
        <v>7107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88061</v>
      </c>
      <c r="H36" s="7">
        <f>202+15697</f>
        <v>15899</v>
      </c>
      <c r="I36" s="7">
        <v>10323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57140</v>
      </c>
      <c r="H37" s="7">
        <f>194+14884</f>
        <v>15078</v>
      </c>
      <c r="I37" s="7">
        <v>40118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30268</v>
      </c>
      <c r="H38" s="7">
        <f>14590+3985</f>
        <v>18575</v>
      </c>
      <c r="I38" s="7">
        <v>9640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66370</v>
      </c>
      <c r="H39" s="7">
        <f>1163+9201</f>
        <v>10364</v>
      </c>
      <c r="I39" s="7">
        <v>9020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2322</v>
      </c>
      <c r="H40" s="7"/>
      <c r="I40" s="7">
        <v>33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8673</v>
      </c>
      <c r="H41" s="7">
        <v>398</v>
      </c>
      <c r="I41" s="7">
        <v>1317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5545</v>
      </c>
      <c r="H42" s="7">
        <v>1962</v>
      </c>
      <c r="I42" s="7">
        <v>2366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6495</v>
      </c>
      <c r="H43" s="7">
        <v>3</v>
      </c>
      <c r="I43" s="7">
        <v>656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25935</v>
      </c>
      <c r="H44" s="7">
        <f>819+3037</f>
        <v>3856</v>
      </c>
      <c r="I44" s="7">
        <v>5640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1336</v>
      </c>
      <c r="H45" s="7"/>
      <c r="I45" s="7">
        <v>97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48736</v>
      </c>
      <c r="H46" s="7">
        <f>1064+4582</f>
        <v>5646</v>
      </c>
      <c r="I46" s="7">
        <v>8629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17834</v>
      </c>
      <c r="H47" s="7">
        <v>1589</v>
      </c>
      <c r="I47" s="7">
        <v>4389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47567+413+481</f>
        <v>48461</v>
      </c>
      <c r="H48" s="7">
        <f>1365+4197</f>
        <v>5562</v>
      </c>
      <c r="I48" s="7">
        <v>8992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6473</v>
      </c>
      <c r="H49" s="7">
        <v>509</v>
      </c>
      <c r="I49" s="7">
        <v>526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21567</v>
      </c>
      <c r="H50" s="7">
        <v>1735</v>
      </c>
      <c r="I50" s="7">
        <v>5953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8123</v>
      </c>
      <c r="H51" s="7"/>
      <c r="I51" s="7">
        <v>366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894801</v>
      </c>
      <c r="H52" s="12">
        <f t="shared" ref="H52:I52" si="0">SUM(H15:H51)</f>
        <v>192905</v>
      </c>
      <c r="I52" s="12">
        <f t="shared" si="0"/>
        <v>200708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0" workbookViewId="0">
      <selection activeCell="I49" sqref="I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68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23434</v>
      </c>
      <c r="H15" s="7">
        <v>1638</v>
      </c>
      <c r="I15" s="7">
        <v>27212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14250</v>
      </c>
      <c r="H16" s="7">
        <v>710</v>
      </c>
      <c r="I16" s="7">
        <v>1221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2368</v>
      </c>
      <c r="H17" s="7"/>
      <c r="I17" s="7">
        <v>238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31259</v>
      </c>
      <c r="H18" s="7">
        <v>2183</v>
      </c>
      <c r="I18" s="7">
        <v>1914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5719</v>
      </c>
      <c r="H19" s="7">
        <v>219</v>
      </c>
      <c r="I19" s="7">
        <v>248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55717</v>
      </c>
      <c r="H20" s="7">
        <f>6401+11667</f>
        <v>18068</v>
      </c>
      <c r="I20" s="7">
        <v>10276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11096</v>
      </c>
      <c r="H21" s="7">
        <f>1433+4697</f>
        <v>6130</v>
      </c>
      <c r="I21" s="7">
        <v>1051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7427</v>
      </c>
      <c r="H22" s="7">
        <v>439</v>
      </c>
      <c r="I22" s="7">
        <v>1340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8235</v>
      </c>
      <c r="H23" s="7">
        <v>689</v>
      </c>
      <c r="I23" s="7">
        <v>585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2440</v>
      </c>
      <c r="H24" s="7">
        <v>175</v>
      </c>
      <c r="I24" s="7">
        <v>603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8730</v>
      </c>
      <c r="H25" s="7"/>
      <c r="I25" s="7">
        <v>1720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47273</v>
      </c>
      <c r="H26" s="7">
        <f>8511+235</f>
        <v>8746</v>
      </c>
      <c r="I26" s="7">
        <v>10740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12585</v>
      </c>
      <c r="H27" s="7">
        <v>349</v>
      </c>
      <c r="I27" s="7">
        <v>1292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43914</v>
      </c>
      <c r="H28" s="7">
        <v>1747</v>
      </c>
      <c r="I28" s="7">
        <v>4395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4069</v>
      </c>
      <c r="H29" s="7">
        <v>76</v>
      </c>
      <c r="I29" s="7">
        <v>240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57841</v>
      </c>
      <c r="H30" s="7">
        <f>1657+36631</f>
        <v>38288</v>
      </c>
      <c r="I30" s="7">
        <v>6015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7583</v>
      </c>
      <c r="H31" s="7"/>
      <c r="I31" s="7">
        <v>692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25392</v>
      </c>
      <c r="H32" s="7">
        <f>581+13100</f>
        <v>13681</v>
      </c>
      <c r="I32" s="7">
        <v>1377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10577</v>
      </c>
      <c r="H33" s="7">
        <f>98+348</f>
        <v>446</v>
      </c>
      <c r="I33" s="7">
        <v>864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855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41934</v>
      </c>
      <c r="H35" s="7">
        <v>4720</v>
      </c>
      <c r="I35" s="7">
        <v>5068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82798</v>
      </c>
      <c r="H36" s="7">
        <f>16340+279</f>
        <v>16619</v>
      </c>
      <c r="I36" s="7">
        <v>8064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62987</v>
      </c>
      <c r="H37" s="7">
        <f>14931+259</f>
        <v>15190</v>
      </c>
      <c r="I37" s="7">
        <v>27962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28336</v>
      </c>
      <c r="H38" s="7">
        <f>3466+11265</f>
        <v>14731</v>
      </c>
      <c r="I38" s="7">
        <v>5910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61681</v>
      </c>
      <c r="H39" s="7">
        <f>10788+1234</f>
        <v>12022</v>
      </c>
      <c r="I39" s="7">
        <v>5231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2720</v>
      </c>
      <c r="H40" s="7"/>
      <c r="I40" s="7">
        <v>37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8448</v>
      </c>
      <c r="H41" s="7">
        <v>229</v>
      </c>
      <c r="I41" s="7">
        <v>1081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5586</v>
      </c>
      <c r="H42" s="7">
        <v>1062</v>
      </c>
      <c r="I42" s="7">
        <v>684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6014</v>
      </c>
      <c r="H43" s="7">
        <v>6</v>
      </c>
      <c r="I43" s="7">
        <v>582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21670</v>
      </c>
      <c r="H44" s="7">
        <f>2686+800</f>
        <v>3486</v>
      </c>
      <c r="I44" s="7">
        <v>5107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1496</v>
      </c>
      <c r="H45" s="7"/>
      <c r="I45" s="7">
        <v>103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40212</v>
      </c>
      <c r="H46" s="7">
        <f>3961+4992</f>
        <v>8953</v>
      </c>
      <c r="I46" s="7">
        <v>6415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16673</v>
      </c>
      <c r="H47" s="7">
        <v>2179</v>
      </c>
      <c r="I47" s="7">
        <v>4033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52477+404+458</f>
        <v>53339</v>
      </c>
      <c r="H48" s="7">
        <f>4962+142</f>
        <v>5104</v>
      </c>
      <c r="I48" s="7">
        <v>10344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5719</v>
      </c>
      <c r="H49" s="7">
        <v>550</v>
      </c>
      <c r="I49" s="7">
        <v>407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18831</v>
      </c>
      <c r="H50" s="7">
        <v>1518</v>
      </c>
      <c r="I50" s="7">
        <v>3979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8880</v>
      </c>
      <c r="H51" s="7"/>
      <c r="I51" s="7">
        <v>436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848088</v>
      </c>
      <c r="H52" s="12">
        <f t="shared" ref="H52:I52" si="0">SUM(H15:H51)</f>
        <v>179953</v>
      </c>
      <c r="I52" s="12">
        <f t="shared" si="0"/>
        <v>157480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2" workbookViewId="0">
      <selection activeCell="G16" sqref="G1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C6" s="2"/>
      <c r="D6" s="2"/>
      <c r="E6" s="2"/>
      <c r="F6" s="2"/>
      <c r="G6" s="2"/>
      <c r="H6" s="15" t="s">
        <v>30</v>
      </c>
      <c r="I6" s="15"/>
    </row>
    <row r="7" spans="1:13" x14ac:dyDescent="0.2">
      <c r="G7" s="2"/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3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9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4" t="s">
        <v>32</v>
      </c>
      <c r="E13" s="4" t="s">
        <v>33</v>
      </c>
      <c r="F13" s="4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23525</v>
      </c>
      <c r="H15" s="7">
        <v>2056</v>
      </c>
      <c r="I15" s="7">
        <v>26222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15711</v>
      </c>
      <c r="H16" s="7">
        <v>2096</v>
      </c>
      <c r="I16" s="7">
        <v>2949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3163</v>
      </c>
      <c r="H17" s="7"/>
      <c r="I17" s="7">
        <v>235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31235</v>
      </c>
      <c r="H18" s="7">
        <v>2046</v>
      </c>
      <c r="I18" s="7">
        <v>2725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5241</v>
      </c>
      <c r="H19" s="7">
        <v>268</v>
      </c>
      <c r="I19" s="7">
        <v>387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41970</v>
      </c>
      <c r="H20" s="7">
        <f>12755+5093</f>
        <v>17848</v>
      </c>
      <c r="I20" s="7">
        <v>14187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9465</v>
      </c>
      <c r="H21" s="7">
        <f>2838+931</f>
        <v>3769</v>
      </c>
      <c r="I21" s="7">
        <v>696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6062</v>
      </c>
      <c r="H22" s="7">
        <v>342</v>
      </c>
      <c r="I22" s="7">
        <v>944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8565</v>
      </c>
      <c r="H23" s="7">
        <v>602</v>
      </c>
      <c r="I23" s="7">
        <v>400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3259</v>
      </c>
      <c r="H24" s="7">
        <v>102</v>
      </c>
      <c r="I24" s="7">
        <v>391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9230</v>
      </c>
      <c r="H25" s="7"/>
      <c r="I25" s="7">
        <v>1465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48246</v>
      </c>
      <c r="H26" s="7">
        <f>139+9651</f>
        <v>9790</v>
      </c>
      <c r="I26" s="7">
        <v>10341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13509</v>
      </c>
      <c r="H27" s="7">
        <v>269</v>
      </c>
      <c r="I27" s="7">
        <v>1354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46514</v>
      </c>
      <c r="H28" s="7">
        <v>3825</v>
      </c>
      <c r="I28" s="7">
        <v>3997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4289</v>
      </c>
      <c r="H29" s="7">
        <v>92</v>
      </c>
      <c r="I29" s="7">
        <v>226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57278</v>
      </c>
      <c r="H30" s="7">
        <f>33082+1855</f>
        <v>34937</v>
      </c>
      <c r="I30" s="7">
        <v>4654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6116</v>
      </c>
      <c r="H31" s="7">
        <v>547</v>
      </c>
      <c r="I31" s="7">
        <v>543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26369</v>
      </c>
      <c r="H32" s="7">
        <f>9840+795</f>
        <v>10635</v>
      </c>
      <c r="I32" s="7">
        <v>1569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14094</v>
      </c>
      <c r="H33" s="7">
        <f>71+124</f>
        <v>195</v>
      </c>
      <c r="I33" s="7">
        <v>1311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721</v>
      </c>
      <c r="H34" s="7"/>
      <c r="I34" s="7">
        <v>7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47719</v>
      </c>
      <c r="H35" s="7">
        <v>5046</v>
      </c>
      <c r="I35" s="7">
        <v>8010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86412</v>
      </c>
      <c r="H36" s="7">
        <f>43+18734</f>
        <v>18777</v>
      </c>
      <c r="I36" s="7">
        <v>8062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52878</v>
      </c>
      <c r="H37" s="7">
        <f>202+17445</f>
        <v>17647</v>
      </c>
      <c r="I37" s="7">
        <v>28125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26922</v>
      </c>
      <c r="H38" s="7">
        <f>11446+3775</f>
        <v>15221</v>
      </c>
      <c r="I38" s="7">
        <v>6210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70866</v>
      </c>
      <c r="H39" s="7">
        <f>1416+11516</f>
        <v>12932</v>
      </c>
      <c r="I39" s="7">
        <v>5845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3314</v>
      </c>
      <c r="H40" s="7"/>
      <c r="I40" s="7">
        <v>37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6732</v>
      </c>
      <c r="H41" s="7">
        <v>168</v>
      </c>
      <c r="I41" s="7">
        <v>658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6932</v>
      </c>
      <c r="H42" s="7">
        <v>1085</v>
      </c>
      <c r="I42" s="7">
        <v>544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7589</v>
      </c>
      <c r="H43" s="7">
        <v>5</v>
      </c>
      <c r="I43" s="7">
        <v>454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29846</v>
      </c>
      <c r="H44" s="7">
        <f>1021+2851</f>
        <v>3872</v>
      </c>
      <c r="I44" s="7">
        <v>6117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1522</v>
      </c>
      <c r="H45" s="7"/>
      <c r="I45" s="7">
        <v>133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44608</v>
      </c>
      <c r="H46" s="7">
        <f>3462+4753</f>
        <v>8215</v>
      </c>
      <c r="I46" s="7">
        <v>7407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17701</v>
      </c>
      <c r="H47" s="7">
        <v>1898</v>
      </c>
      <c r="I47" s="7">
        <v>3907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38964+111+254</f>
        <v>39329</v>
      </c>
      <c r="H48" s="7">
        <v>3048</v>
      </c>
      <c r="I48" s="7">
        <v>9393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6782</v>
      </c>
      <c r="H49" s="7">
        <v>610</v>
      </c>
      <c r="I49" s="7">
        <v>434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19311</v>
      </c>
      <c r="H50" s="7">
        <v>1372</v>
      </c>
      <c r="I50" s="7">
        <v>4418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8487</v>
      </c>
      <c r="H51" s="7"/>
      <c r="I51" s="7">
        <v>475</v>
      </c>
      <c r="J51" s="8"/>
      <c r="K51" s="9"/>
      <c r="L51" s="9"/>
      <c r="M51" s="9"/>
    </row>
    <row r="52" spans="1:13" ht="13.5" customHeight="1" x14ac:dyDescent="0.2">
      <c r="A52" s="16" t="s">
        <v>4</v>
      </c>
      <c r="B52" s="16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851512</v>
      </c>
      <c r="H52" s="12">
        <f t="shared" ref="H52:I52" si="0">SUM(H15:H51)</f>
        <v>179315</v>
      </c>
      <c r="I52" s="12">
        <f t="shared" si="0"/>
        <v>164832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2020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econ06</cp:lastModifiedBy>
  <cp:lastPrinted>2020-10-20T14:41:55Z</cp:lastPrinted>
  <dcterms:created xsi:type="dcterms:W3CDTF">2010-03-12T06:02:23Z</dcterms:created>
  <dcterms:modified xsi:type="dcterms:W3CDTF">2021-01-18T11:28:45Z</dcterms:modified>
</cp:coreProperties>
</file>